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2ID" sheetId="11" r:id="rId1"/>
    <sheet name="ASCOM (4FSSU) " sheetId="6" r:id="rId2"/>
    <sheet name="ARESCOM " sheetId="4" r:id="rId3"/>
    <sheet name="ASR (2SBN)" sheetId="5" r:id="rId4"/>
    <sheet name="IMCOM (2IMB14IMB)" sheetId="7" r:id="rId5"/>
    <sheet name="AAR (5FAB)" sheetId="8" r:id="rId6"/>
    <sheet name="FAO (4FPAO)" sheetId="10" r:id="rId7"/>
    <sheet name="ASPA (4FAU)" sheetId="9" r:id="rId8"/>
    <sheet name="LAD (2CAV)" sheetId="3" r:id="rId9"/>
    <sheet name="102ND" sheetId="13" r:id="rId10"/>
    <sheet name="Sheet1" sheetId="2" state="hidden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25" i="13" l="1"/>
  <c r="AM15" i="13"/>
  <c r="AM14" i="13"/>
  <c r="AM13" i="13"/>
  <c r="T15" i="13"/>
  <c r="T14" i="13"/>
  <c r="T13" i="13"/>
  <c r="AP20" i="13"/>
  <c r="AM37" i="3"/>
  <c r="AP26" i="3"/>
  <c r="AM26" i="3"/>
  <c r="T26" i="3"/>
  <c r="AP24" i="3"/>
  <c r="AM24" i="3"/>
  <c r="T24" i="3"/>
  <c r="AP17" i="3"/>
  <c r="AM17" i="3"/>
  <c r="T17" i="3"/>
  <c r="AM16" i="3"/>
  <c r="T16" i="3"/>
  <c r="AP14" i="3"/>
  <c r="AM14" i="3"/>
  <c r="T14" i="3"/>
  <c r="AM20" i="5"/>
  <c r="AM19" i="5"/>
  <c r="AM16" i="5"/>
  <c r="AM21" i="5"/>
  <c r="AP35" i="4"/>
  <c r="AP16" i="4"/>
  <c r="AP9" i="4"/>
  <c r="AM35" i="4"/>
  <c r="AM13" i="4"/>
  <c r="AM9" i="4"/>
  <c r="T35" i="4"/>
  <c r="T13" i="4"/>
  <c r="T9" i="4"/>
  <c r="AM19" i="13" l="1"/>
  <c r="AM21" i="13"/>
  <c r="AM30" i="3"/>
  <c r="AP31" i="3"/>
  <c r="AM269" i="11"/>
  <c r="T269" i="11"/>
  <c r="AM210" i="11"/>
  <c r="T210" i="11"/>
  <c r="AM196" i="11"/>
  <c r="T196" i="11"/>
  <c r="AM187" i="11"/>
  <c r="T187" i="11"/>
  <c r="AP186" i="11"/>
  <c r="AM186" i="11"/>
  <c r="T186" i="11"/>
  <c r="AP177" i="11"/>
  <c r="AM177" i="11"/>
  <c r="T177" i="11"/>
  <c r="AP165" i="11"/>
  <c r="AM165" i="11"/>
  <c r="T165" i="11"/>
  <c r="AM164" i="11"/>
  <c r="T164" i="11"/>
  <c r="AM163" i="11"/>
  <c r="T163" i="11"/>
  <c r="AP151" i="11"/>
  <c r="AM151" i="11"/>
  <c r="T151" i="11"/>
  <c r="AP146" i="11"/>
  <c r="AP143" i="11"/>
  <c r="AM143" i="11"/>
  <c r="T143" i="11"/>
  <c r="AM131" i="11"/>
  <c r="T131" i="11"/>
  <c r="AP128" i="11"/>
  <c r="AM128" i="11"/>
  <c r="T128" i="11"/>
  <c r="AP127" i="11"/>
  <c r="AM127" i="11"/>
  <c r="T127" i="11"/>
  <c r="AP126" i="11"/>
  <c r="AM125" i="11"/>
  <c r="T125" i="11"/>
  <c r="AP124" i="11"/>
  <c r="AM124" i="11"/>
  <c r="T124" i="11"/>
  <c r="AP111" i="11"/>
  <c r="AM111" i="11"/>
  <c r="T111" i="11"/>
  <c r="AP110" i="11"/>
  <c r="AM110" i="11"/>
  <c r="T110" i="11"/>
  <c r="AM107" i="11"/>
  <c r="T107" i="11"/>
  <c r="AP106" i="11"/>
  <c r="AP102" i="11"/>
  <c r="AM102" i="11"/>
  <c r="T102" i="11"/>
  <c r="AP101" i="11"/>
  <c r="AM101" i="11"/>
  <c r="T101" i="11"/>
  <c r="AP100" i="11"/>
  <c r="AM100" i="11"/>
  <c r="T100" i="11"/>
  <c r="AM96" i="11"/>
  <c r="T96" i="11"/>
  <c r="AP95" i="11"/>
  <c r="AM95" i="11"/>
  <c r="T95" i="11"/>
  <c r="AM93" i="11"/>
  <c r="T93" i="11"/>
  <c r="AM92" i="11"/>
  <c r="T92" i="11"/>
  <c r="AM79" i="11"/>
  <c r="T79" i="11"/>
  <c r="AM78" i="11"/>
  <c r="T78" i="11"/>
  <c r="AM76" i="11"/>
  <c r="T76" i="11"/>
  <c r="AM75" i="11"/>
  <c r="T75" i="11"/>
  <c r="AP69" i="11"/>
  <c r="AP67" i="11"/>
  <c r="AM67" i="11"/>
  <c r="T67" i="11"/>
  <c r="AM65" i="11"/>
  <c r="T65" i="11"/>
  <c r="AM63" i="11"/>
  <c r="T63" i="11"/>
  <c r="AP62" i="11"/>
  <c r="AM62" i="11"/>
  <c r="T62" i="11"/>
  <c r="AM60" i="11"/>
  <c r="T60" i="11"/>
  <c r="AP59" i="11"/>
  <c r="AM59" i="11"/>
  <c r="T59" i="11"/>
  <c r="AP52" i="11"/>
  <c r="AM52" i="11"/>
  <c r="T52" i="11"/>
  <c r="AP48" i="11"/>
  <c r="AM48" i="11"/>
  <c r="T48" i="11"/>
  <c r="AM45" i="11"/>
  <c r="T45" i="11"/>
  <c r="AM40" i="11"/>
  <c r="T40" i="11"/>
  <c r="AM39" i="11"/>
  <c r="T39" i="11"/>
  <c r="AP38" i="11"/>
  <c r="AM38" i="11"/>
  <c r="T38" i="11"/>
  <c r="AP30" i="11"/>
  <c r="AM30" i="11"/>
  <c r="T30" i="11"/>
  <c r="AP28" i="11"/>
  <c r="AM28" i="11"/>
  <c r="T28" i="11"/>
  <c r="AP19" i="11"/>
  <c r="AM17" i="11"/>
  <c r="T17" i="11"/>
  <c r="AP15" i="11"/>
  <c r="AM15" i="11"/>
  <c r="T15" i="11"/>
  <c r="AP10" i="11"/>
  <c r="AM10" i="11"/>
  <c r="T10" i="11"/>
  <c r="AP16" i="9"/>
  <c r="AM16" i="9"/>
  <c r="T16" i="9"/>
  <c r="AP10" i="9"/>
  <c r="AM10" i="9"/>
  <c r="T10" i="9"/>
  <c r="AP9" i="9"/>
  <c r="AM9" i="9"/>
  <c r="T9" i="9"/>
  <c r="AM32" i="3" l="1"/>
  <c r="AM12" i="10"/>
  <c r="AP11" i="10"/>
  <c r="AM10" i="10"/>
  <c r="AP9" i="10"/>
  <c r="AM9" i="10"/>
  <c r="T9" i="10"/>
  <c r="AP15" i="8" l="1"/>
  <c r="AM11" i="8"/>
  <c r="AM14" i="8" s="1"/>
  <c r="T11" i="8"/>
  <c r="AM75" i="7" l="1"/>
  <c r="T75" i="7"/>
  <c r="AP73" i="7"/>
  <c r="AM73" i="7"/>
  <c r="T73" i="7"/>
  <c r="AP72" i="7"/>
  <c r="AM72" i="7"/>
  <c r="T72" i="7"/>
  <c r="AM60" i="7"/>
  <c r="T60" i="7"/>
  <c r="AM43" i="7"/>
  <c r="T43" i="7"/>
  <c r="AM42" i="7"/>
  <c r="T42" i="7"/>
  <c r="AM41" i="7"/>
  <c r="T41" i="7"/>
  <c r="AM40" i="7"/>
  <c r="T40" i="7"/>
  <c r="AP39" i="7"/>
  <c r="AM35" i="7"/>
  <c r="T35" i="7"/>
  <c r="AP34" i="7"/>
  <c r="AM34" i="7"/>
  <c r="T34" i="7"/>
  <c r="AP32" i="7"/>
  <c r="AM32" i="7"/>
  <c r="T32" i="7"/>
  <c r="AP23" i="7"/>
  <c r="AM23" i="7"/>
  <c r="T23" i="7"/>
  <c r="AM19" i="7"/>
  <c r="T19" i="7"/>
  <c r="AP18" i="7"/>
  <c r="AM18" i="7"/>
  <c r="T18" i="7"/>
  <c r="AP15" i="7"/>
  <c r="AM15" i="7"/>
  <c r="T15" i="7"/>
  <c r="AP14" i="7"/>
  <c r="AM14" i="7"/>
  <c r="T14" i="7"/>
  <c r="AP13" i="7"/>
  <c r="AM11" i="7"/>
  <c r="T11" i="7"/>
  <c r="AP10" i="7"/>
  <c r="AM10" i="7"/>
  <c r="T10" i="7"/>
  <c r="AP27" i="5" l="1"/>
  <c r="AM27" i="5"/>
  <c r="T27" i="5"/>
  <c r="AP22" i="5"/>
  <c r="AM23" i="5" l="1"/>
  <c r="AP88" i="4"/>
  <c r="AM71" i="4"/>
  <c r="T71" i="4"/>
  <c r="AM45" i="4"/>
  <c r="AM133" i="4" s="1"/>
  <c r="T45" i="4"/>
  <c r="AM40" i="4"/>
  <c r="AP41" i="4" l="1"/>
  <c r="AM42" i="4"/>
  <c r="AP15" i="6" l="1"/>
  <c r="AM15" i="6"/>
  <c r="T15" i="6"/>
  <c r="AM9" i="6"/>
  <c r="T9" i="6"/>
  <c r="AM426" i="11" l="1"/>
  <c r="A319" i="11"/>
  <c r="AP288" i="11" l="1"/>
  <c r="AM287" i="11"/>
  <c r="AM289" i="11" l="1"/>
  <c r="AM18" i="10" l="1"/>
  <c r="AP12" i="9"/>
  <c r="AM11" i="9"/>
  <c r="AM13" i="9" l="1"/>
  <c r="AP23" i="6"/>
  <c r="AM22" i="6"/>
  <c r="AM24" i="6" s="1"/>
  <c r="AM44" i="7"/>
  <c r="AP45" i="7"/>
  <c r="AM46" i="7" s="1"/>
  <c r="AM28" i="9"/>
  <c r="AM16" i="8"/>
  <c r="AM80" i="7"/>
  <c r="AM28" i="6"/>
  <c r="AM42" i="5"/>
</calcChain>
</file>

<file path=xl/sharedStrings.xml><?xml version="1.0" encoding="utf-8"?>
<sst xmlns="http://schemas.openxmlformats.org/spreadsheetml/2006/main" count="3681" uniqueCount="279">
  <si>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</si>
  <si>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</si>
  <si>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</si>
  <si>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</si>
  <si>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</si>
  <si>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</si>
  <si>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</si>
  <si>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</si>
  <si>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</si>
  <si>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</si>
  <si>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</si>
  <si>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</si>
  <si>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</si>
  <si>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</si>
  <si>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</si>
  <si>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</si>
  <si>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</si>
  <si>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</si>
  <si>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</si>
  <si>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</si>
  <si>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</si>
  <si>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</si>
  <si>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</si>
  <si>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</si>
  <si>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</si>
  <si>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</si>
  <si>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</si>
  <si>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</si>
  <si>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</si>
  <si>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</si>
  <si>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</si>
  <si>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</si>
  <si>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</si>
  <si>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</si>
  <si>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</si>
  <si>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</si>
  <si>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</si>
  <si>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</si>
  <si>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</si>
  <si>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</si>
  <si>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</si>
  <si>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</si>
  <si>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</si>
  <si>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</si>
  <si>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</si>
  <si>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</si>
  <si>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</si>
  <si>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</si>
  <si>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</si>
  <si>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</si>
  <si>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Head of the Procuring Entity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</si>
  <si>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</si>
  <si>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</si>
  <si>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</si>
  <si>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</si>
  <si>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</si>
  <si>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</si>
  <si>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</si>
  <si>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</si>
  <si>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</si>
  <si>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</si>
  <si>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</si>
  <si>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</si>
  <si>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</si>
  <si>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</si>
  <si>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</si>
  <si>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</si>
  <si>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</si>
  <si>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</si>
  <si>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</si>
  <si>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</si>
  <si>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</si>
  <si>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</si>
  <si>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</si>
  <si>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</si>
  <si>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</si>
  <si>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</si>
  <si>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</si>
  <si>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80IBN</t>
  </si>
  <si>
    <t>4IBN</t>
  </si>
  <si>
    <t>76IBN</t>
  </si>
  <si>
    <t>CMOBN</t>
  </si>
  <si>
    <t>202BDE</t>
  </si>
  <si>
    <t>2MIBN</t>
  </si>
  <si>
    <t>2CMOBN</t>
  </si>
  <si>
    <t>21DRC</t>
  </si>
  <si>
    <t>203BDE</t>
  </si>
  <si>
    <t>2DCAU</t>
  </si>
  <si>
    <t>85IBN</t>
  </si>
  <si>
    <t>SSBN</t>
  </si>
  <si>
    <t>201BDE</t>
  </si>
  <si>
    <t>68IBN</t>
  </si>
  <si>
    <t>OG6</t>
  </si>
  <si>
    <t>59IBN</t>
  </si>
  <si>
    <t>DENTAL</t>
  </si>
  <si>
    <t>92IBN</t>
  </si>
  <si>
    <t>22DRC</t>
  </si>
  <si>
    <t>OG4</t>
  </si>
  <si>
    <t>1IBN</t>
  </si>
  <si>
    <t>HSC (P)</t>
  </si>
  <si>
    <t>2DTS</t>
  </si>
  <si>
    <t>2ASH</t>
  </si>
  <si>
    <t>74IBN</t>
  </si>
  <si>
    <t>23DRC</t>
  </si>
  <si>
    <t>ASH</t>
  </si>
  <si>
    <t>SDO</t>
  </si>
  <si>
    <t>OG1</t>
  </si>
  <si>
    <t>OG2</t>
  </si>
  <si>
    <t>HHSC (P)</t>
  </si>
  <si>
    <t>RM Machinery</t>
  </si>
  <si>
    <t xml:space="preserve">RM Commo Equipment </t>
  </si>
  <si>
    <t>Cable &amp; Sat</t>
  </si>
  <si>
    <t>Training Expenses</t>
  </si>
  <si>
    <t>Welfare Goods</t>
  </si>
  <si>
    <t>Medical Dental &amp; Lab Supplies</t>
  </si>
  <si>
    <t>Drugs and Medicines</t>
  </si>
  <si>
    <t>Telephone Mobile Exp</t>
  </si>
  <si>
    <t>Representation Expenses</t>
  </si>
  <si>
    <t>RM Motor Vehicle</t>
  </si>
  <si>
    <t xml:space="preserve">RM ICT Equipment </t>
  </si>
  <si>
    <t xml:space="preserve">Semi Exp Commo Equipment </t>
  </si>
  <si>
    <t xml:space="preserve">RM Building </t>
  </si>
  <si>
    <t>Internet Exp</t>
  </si>
  <si>
    <t>Office Supplies</t>
  </si>
  <si>
    <t xml:space="preserve">Semi Exp ICT Equipment </t>
  </si>
  <si>
    <t xml:space="preserve">welfare Goods </t>
  </si>
  <si>
    <t>RM Other Structures</t>
  </si>
  <si>
    <t xml:space="preserve">RM Medical Equipment </t>
  </si>
  <si>
    <t>Representation Exp</t>
  </si>
  <si>
    <t>Semi Exp ICT</t>
  </si>
  <si>
    <t>Other Supplies &amp; Materials Exp</t>
  </si>
  <si>
    <t>RM Other Machinery</t>
  </si>
  <si>
    <t>Semi Exp Commo</t>
  </si>
  <si>
    <t>Semi Exp DRRE</t>
  </si>
  <si>
    <t>5-02-13-050-07</t>
  </si>
  <si>
    <t>5-02-13-050-01</t>
  </si>
  <si>
    <t>5-02-05-040-00</t>
  </si>
  <si>
    <t>5-02-02-010-00</t>
  </si>
  <si>
    <t>5-02-03-060-00</t>
  </si>
  <si>
    <t>5-02-03-080-00</t>
  </si>
  <si>
    <t>5-02-03-070-00</t>
  </si>
  <si>
    <t>5-02-03-990-00</t>
  </si>
  <si>
    <t>5-02-05-020-01</t>
  </si>
  <si>
    <t>5-02-99-030-00</t>
  </si>
  <si>
    <t>5-02-13-040-99</t>
  </si>
  <si>
    <t>5-02-13-060-01</t>
  </si>
  <si>
    <t>5-02-13-040-01</t>
  </si>
  <si>
    <t>5-02-13-050-03</t>
  </si>
  <si>
    <t>5-02-03-210-08</t>
  </si>
  <si>
    <t>5-02-03-210-07</t>
  </si>
  <si>
    <t>5-02-05-030-00</t>
  </si>
  <si>
    <t>5-02-03-010-00</t>
  </si>
  <si>
    <t>5-02-03-210-03</t>
  </si>
  <si>
    <t>5-02-13-050-11</t>
  </si>
  <si>
    <t>5-02-13-050-99</t>
  </si>
  <si>
    <t xml:space="preserve">RM Medical  Equipment </t>
  </si>
  <si>
    <t>2CAV</t>
  </si>
  <si>
    <t>semi Exp ICT</t>
  </si>
  <si>
    <t xml:space="preserve">Semi Exp Machinery &amp; Equipment </t>
  </si>
  <si>
    <t>Semi Exp Furniture &amp; Fixture</t>
  </si>
  <si>
    <t xml:space="preserve">Semi Exp Technical &amp; Scientific Equipment </t>
  </si>
  <si>
    <t>RESCOM</t>
  </si>
  <si>
    <t>HHSBN RESCOM</t>
  </si>
  <si>
    <t>4RCDG</t>
  </si>
  <si>
    <t>ARPMC</t>
  </si>
  <si>
    <t>ATS</t>
  </si>
  <si>
    <t>5-02-03-220-01</t>
  </si>
  <si>
    <t>2SBN</t>
  </si>
  <si>
    <t>4FSSU</t>
  </si>
  <si>
    <t>14IMB</t>
  </si>
  <si>
    <t>2IMB</t>
  </si>
  <si>
    <t>2REO</t>
  </si>
  <si>
    <t xml:space="preserve">Semi Exp Office Equipment </t>
  </si>
  <si>
    <t>5-02-03+060-00</t>
  </si>
  <si>
    <t xml:space="preserve">5FAB </t>
  </si>
  <si>
    <t>4FAU</t>
  </si>
  <si>
    <t>4FPAO</t>
  </si>
  <si>
    <t>Msg    (FS)    PA</t>
  </si>
  <si>
    <t>Noemi   P     Idul</t>
  </si>
  <si>
    <t xml:space="preserve">Chief Clerk </t>
  </si>
  <si>
    <t>ALBERT N SOTELO</t>
  </si>
  <si>
    <t>MAJ        (SC)      PA</t>
  </si>
  <si>
    <t>Commanding Officer</t>
  </si>
  <si>
    <t>102ND CONTRACTING OFFICE- 2ID, PA  -PROJECT MONITORING REPORT  01 July- 31 December 2022</t>
  </si>
  <si>
    <t xml:space="preserve">RM ICT EQUIPMENT </t>
  </si>
  <si>
    <t>Representation exp</t>
  </si>
  <si>
    <t xml:space="preserve">RM building </t>
  </si>
  <si>
    <t>Telephone Mobile Expenses</t>
  </si>
  <si>
    <t>Internet Expenses</t>
  </si>
  <si>
    <t>CABLE EXPENSES</t>
  </si>
  <si>
    <t>Other supplies &amp; Materials</t>
  </si>
  <si>
    <t>5-02-03-210-09</t>
  </si>
  <si>
    <t>Semi Exp Military Police</t>
  </si>
  <si>
    <t xml:space="preserve">Welfare GoodsL20:L296 </t>
  </si>
  <si>
    <t>RM Modular facility</t>
  </si>
  <si>
    <t>SEMI DRRE</t>
  </si>
  <si>
    <t xml:space="preserve">RM commo Equipment </t>
  </si>
  <si>
    <t>WELFARE GOODS EXP</t>
  </si>
  <si>
    <t>MEDICAL DENTAL &amp; LAB supplies</t>
  </si>
  <si>
    <t>5-00-03-210-03</t>
  </si>
  <si>
    <t xml:space="preserve">Semi Ict Equipment </t>
  </si>
  <si>
    <t>RM MOTOR VEHICLE</t>
  </si>
  <si>
    <t>Training expenses</t>
  </si>
  <si>
    <t>RM BUILDINGS</t>
  </si>
  <si>
    <t>RM OTHER STRUCTURES</t>
  </si>
  <si>
    <t>RM MOTOE VEHICLES</t>
  </si>
  <si>
    <t>Cable Expenses</t>
  </si>
  <si>
    <t>MFO</t>
  </si>
  <si>
    <t>5-02-03-210-00</t>
  </si>
  <si>
    <t>TRAINING EXPENSES</t>
  </si>
  <si>
    <t>5-02-13-040-00</t>
  </si>
  <si>
    <t>RM Buildings</t>
  </si>
  <si>
    <t>201BE</t>
  </si>
  <si>
    <t>RM other Structures</t>
  </si>
  <si>
    <t>Telephone Mobile</t>
  </si>
  <si>
    <t>5-02-13-050-02</t>
  </si>
  <si>
    <t xml:space="preserve">RM MACHINERY EQUIPMENT </t>
  </si>
  <si>
    <t xml:space="preserve">RM BUILDING </t>
  </si>
  <si>
    <t>RM MACHINERY (COOMO EQUIPMENT )</t>
  </si>
  <si>
    <t>5-02-03-080-01</t>
  </si>
  <si>
    <t>Drugs &amp; Medicines Exp</t>
  </si>
  <si>
    <t>5-02-05-040-01</t>
  </si>
  <si>
    <t>DRUGS &amp; MEDICINES</t>
  </si>
  <si>
    <t>OG7</t>
  </si>
  <si>
    <t>GSMO</t>
  </si>
  <si>
    <t>RM Other Machinery &amp; Equipment</t>
  </si>
  <si>
    <t>ODA</t>
  </si>
  <si>
    <t>5-02-02-010-02</t>
  </si>
  <si>
    <t xml:space="preserve">RM DENTAL EQUIPMENT </t>
  </si>
  <si>
    <t>102ND CONTRACTING OFFICE-ASCOM (4FSSU)  -PROJECT MONITORING REPORT  01 July-31 December 2022</t>
  </si>
  <si>
    <t>102ND CONTRACTING OFFICE-ARESCOM  -PROJECT MONITORING REPORT  01 July -31 December 2022</t>
  </si>
  <si>
    <t>5-02-03-210-04</t>
  </si>
  <si>
    <t>5-02-13-040-02</t>
  </si>
  <si>
    <t>5-02-03-060-01</t>
  </si>
  <si>
    <t>5-02-13-060-03</t>
  </si>
  <si>
    <t>RM Other structure</t>
  </si>
  <si>
    <t xml:space="preserve">MOOE </t>
  </si>
  <si>
    <t>5-02-13-060-02</t>
  </si>
  <si>
    <t>5-02-13-060-04</t>
  </si>
  <si>
    <t>RM Building</t>
  </si>
  <si>
    <t xml:space="preserve">RM Office Equipment </t>
  </si>
  <si>
    <t>Office Supplies Exp</t>
  </si>
  <si>
    <t>SEMI Exp Fur &amp; Fixtures</t>
  </si>
  <si>
    <t>OFFICE SUPPLY EXP</t>
  </si>
  <si>
    <t xml:space="preserve">RM OFFICE EQUIPMENT </t>
  </si>
  <si>
    <t xml:space="preserve">OTHER SUPPLY &amp; MATERIALS </t>
  </si>
  <si>
    <t>5-02-13-210-07</t>
  </si>
  <si>
    <t xml:space="preserve">RM SEMI EXP COMMO EQUIPMENT </t>
  </si>
  <si>
    <t xml:space="preserve">RM OFFICE Euipment </t>
  </si>
  <si>
    <t>Drugs &amp; Medicines</t>
  </si>
  <si>
    <t>5-02-02-010-01</t>
  </si>
  <si>
    <t>OFFICE SUPPLIES EXP</t>
  </si>
  <si>
    <t>5-02-13-060-00</t>
  </si>
  <si>
    <t>RM Motor vehicle</t>
  </si>
  <si>
    <t>REPRESENTATION EXP</t>
  </si>
  <si>
    <t>RM VEHICLE</t>
  </si>
  <si>
    <t>102ND CONTRACTING OFFICE-ASR (2SBN)   -PROJECT MONITORING REPORT  01 July- 31 December 2022</t>
  </si>
  <si>
    <t>5-02-13-050-13</t>
  </si>
  <si>
    <t xml:space="preserve">RM Sports Equipment </t>
  </si>
  <si>
    <t>5-02-03-200-01</t>
  </si>
  <si>
    <t>SEMI FUR &amp; FIXTURES</t>
  </si>
  <si>
    <t>SEMI EXP Machinery Exp</t>
  </si>
  <si>
    <t>OTHER SUPPLIES &amp; Materials</t>
  </si>
  <si>
    <t xml:space="preserve">Sports Equipment </t>
  </si>
  <si>
    <t>5-02-03-010-02</t>
  </si>
  <si>
    <t>5-02-030-010-00</t>
  </si>
  <si>
    <t>14REO</t>
  </si>
  <si>
    <t>5-02-05-020-00</t>
  </si>
  <si>
    <t>102ND CONTRACTING OFFICE-IMCOM  -PROJECT MONITORING REPORT  01 July - 31 December 2022</t>
  </si>
  <si>
    <t>102ND CONTRACTING OFFICE-AAR (5FAB)  -PROJECT MONITORING REPORT  01 July - 31 December 2022</t>
  </si>
  <si>
    <t>102ND CONTRACTING OFFICE-FAO (4FAO) -PROJECT MONITORING REPORT  01 July - 31 December 2022</t>
  </si>
  <si>
    <t>102ND CONTRACTING OFFICE-ASPA (4FAU) -PROJECT MONITORING REPORT  01 July - 31 December 2022</t>
  </si>
  <si>
    <t>RM ICT EQUIPMENT</t>
  </si>
  <si>
    <t>102ND CONTRACTING OFFICE-ARMOR DIV (2CAVBN) -PROJECT MONITORING REPORT  01 JULY - 31 DECEMBER 2022</t>
  </si>
  <si>
    <t xml:space="preserve">SEMI ICT EQUIPMENT </t>
  </si>
  <si>
    <t>Medical dental &amp; Lab Supplies</t>
  </si>
  <si>
    <t>102CO</t>
  </si>
  <si>
    <t>Shopping 52.1</t>
  </si>
  <si>
    <t>102ND CONTRACTING OFFICE, AFPPS -PROJECT MONITORING REPORT  01 January- 31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</si>
</sst>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;&quot; (&quot;#,##0.00\);&quot; -&quot;#\ ;@\ 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0" fontId="14" fillId="0" borderId="0" xfId="4"/>
    <xf numFmtId="0" fontId="9" fillId="0" borderId="1" xfId="4" applyFont="1" applyBorder="1" applyAlignment="1" applyProtection="1">
      <alignment horizontal="center"/>
      <protection locked="0"/>
    </xf>
    <xf numFmtId="0" fontId="9" fillId="0" borderId="3" xfId="4" applyFont="1" applyBorder="1" applyAlignment="1" applyProtection="1">
      <alignment horizontal="center"/>
      <protection locked="0"/>
    </xf>
    <xf numFmtId="0" fontId="11" fillId="0" borderId="3" xfId="4" applyFont="1" applyBorder="1" applyAlignment="1" applyProtection="1">
      <alignment horizontal="center" vertical="center"/>
      <protection locked="0"/>
    </xf>
    <xf numFmtId="0" fontId="11" fillId="0" borderId="3" xfId="4" applyFont="1" applyBorder="1" applyAlignment="1" applyProtection="1">
      <alignment vertical="center"/>
      <protection locked="0"/>
    </xf>
    <xf numFmtId="49" fontId="11" fillId="0" borderId="3" xfId="4" applyNumberFormat="1" applyFont="1" applyBorder="1" applyAlignment="1" applyProtection="1">
      <alignment horizontal="center" vertical="center"/>
      <protection locked="0"/>
    </xf>
    <xf numFmtId="4" fontId="11" fillId="0" borderId="3" xfId="4" applyNumberFormat="1" applyFont="1" applyBorder="1" applyAlignment="1" applyProtection="1">
      <alignment horizontal="center" vertical="center"/>
      <protection locked="0"/>
    </xf>
    <xf numFmtId="0" fontId="11" fillId="0" borderId="4" xfId="4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left"/>
      <protection locked="0"/>
    </xf>
    <xf numFmtId="0" fontId="4" fillId="0" borderId="0" xfId="4" applyFont="1" applyProtection="1">
      <protection locked="0"/>
    </xf>
    <xf numFmtId="0" fontId="12" fillId="0" borderId="0" xfId="4" applyFont="1" applyProtection="1">
      <protection locked="0"/>
    </xf>
    <xf numFmtId="0" fontId="1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6" fillId="0" borderId="0" xfId="4" applyFont="1" applyAlignment="1" applyProtection="1">
      <alignment horizontal="center" vertical="top" wrapText="1"/>
      <protection locked="0"/>
    </xf>
    <xf numFmtId="0" fontId="7" fillId="0" borderId="0" xfId="4" applyFont="1" applyProtection="1">
      <protection locked="0"/>
    </xf>
    <xf numFmtId="0" fontId="7" fillId="0" borderId="0" xfId="4" applyFont="1" applyAlignment="1" applyProtection="1">
      <alignment vertical="center"/>
      <protection locked="0"/>
    </xf>
    <xf numFmtId="0" fontId="14" fillId="0" borderId="0" xfId="4" applyProtection="1">
      <protection locked="0"/>
    </xf>
    <xf numFmtId="0" fontId="13" fillId="0" borderId="0" xfId="4" applyFont="1" applyProtection="1">
      <protection locked="0"/>
    </xf>
    <xf numFmtId="0" fontId="13" fillId="0" borderId="0" xfId="4" applyFont="1" applyAlignment="1" applyProtection="1">
      <alignment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49" fontId="12" fillId="0" borderId="0" xfId="4" applyNumberFormat="1" applyFont="1" applyAlignment="1" applyProtection="1">
      <alignment horizontal="left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49" fontId="0" fillId="0" borderId="0" xfId="4" applyNumberFormat="1" applyFont="1" applyAlignment="1" applyProtection="1">
      <alignment horizontal="center" vertical="center" wrapText="1"/>
      <protection locked="0"/>
    </xf>
    <xf numFmtId="0" fontId="13" fillId="0" borderId="0" xfId="4" applyFont="1" applyAlignment="1" applyProtection="1">
      <alignment horizontal="left"/>
      <protection locked="0"/>
    </xf>
    <xf numFmtId="0" fontId="5" fillId="0" borderId="6" xfId="4" applyFont="1" applyBorder="1" applyAlignment="1">
      <alignment horizontal="center" vertical="top" wrapText="1"/>
    </xf>
    <xf numFmtId="0" fontId="8" fillId="3" borderId="11" xfId="4" applyFont="1" applyFill="1" applyBorder="1" applyAlignment="1">
      <alignment vertical="center" wrapText="1"/>
    </xf>
    <xf numFmtId="0" fontId="8" fillId="3" borderId="12" xfId="4" applyFont="1" applyFill="1" applyBorder="1" applyAlignment="1">
      <alignment vertical="center" wrapText="1"/>
    </xf>
    <xf numFmtId="0" fontId="3" fillId="0" borderId="0" xfId="4" applyFont="1" applyAlignment="1" applyProtection="1">
      <alignment horizontal="right"/>
      <protection locked="0"/>
    </xf>
    <xf numFmtId="0" fontId="4" fillId="0" borderId="0" xfId="4" applyFont="1" applyAlignment="1" applyProtection="1">
      <alignment horizontal="right"/>
      <protection locked="0"/>
    </xf>
    <xf numFmtId="0" fontId="0" fillId="0" borderId="0" xfId="4" applyFont="1" applyAlignment="1" applyProtection="1">
      <alignment horizontal="right"/>
      <protection locked="0"/>
    </xf>
    <xf numFmtId="0" fontId="6" fillId="0" borderId="6" xfId="4" applyFont="1" applyBorder="1" applyAlignment="1">
      <alignment horizontal="right" vertical="top" wrapText="1"/>
    </xf>
    <xf numFmtId="0" fontId="8" fillId="3" borderId="11" xfId="4" applyFont="1" applyFill="1" applyBorder="1" applyAlignment="1">
      <alignment horizontal="right" vertical="center" wrapText="1"/>
    </xf>
    <xf numFmtId="0" fontId="14" fillId="0" borderId="0" xfId="4" applyAlignment="1" applyProtection="1">
      <alignment horizontal="right"/>
      <protection locked="0"/>
    </xf>
    <xf numFmtId="0" fontId="13" fillId="0" borderId="0" xfId="4" applyFont="1" applyAlignment="1" applyProtection="1">
      <alignment horizontal="right" vertical="center"/>
      <protection locked="0"/>
    </xf>
    <xf numFmtId="0" fontId="11" fillId="0" borderId="8" xfId="4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vertical="center"/>
      <protection locked="0"/>
    </xf>
    <xf numFmtId="0" fontId="9" fillId="0" borderId="8" xfId="4" applyFont="1" applyBorder="1" applyAlignment="1" applyProtection="1">
      <alignment horizontal="center"/>
      <protection locked="0"/>
    </xf>
    <xf numFmtId="49" fontId="11" fillId="0" borderId="8" xfId="4" applyNumberFormat="1" applyFont="1" applyBorder="1" applyAlignment="1" applyProtection="1">
      <alignment horizontal="center" vertical="center"/>
      <protection locked="0"/>
    </xf>
    <xf numFmtId="4" fontId="11" fillId="0" borderId="8" xfId="4" applyNumberFormat="1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left"/>
      <protection locked="0"/>
    </xf>
    <xf numFmtId="0" fontId="16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7" fillId="3" borderId="11" xfId="4" applyFont="1" applyFill="1" applyBorder="1" applyAlignment="1">
      <alignment vertical="center" wrapText="1"/>
    </xf>
    <xf numFmtId="0" fontId="18" fillId="0" borderId="0" xfId="4" applyFont="1" applyProtection="1">
      <protection locked="0"/>
    </xf>
    <xf numFmtId="0" fontId="17" fillId="0" borderId="0" xfId="4" applyFont="1" applyProtection="1">
      <protection locked="0"/>
    </xf>
    <xf numFmtId="0" fontId="16" fillId="0" borderId="0" xfId="4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7" fillId="3" borderId="11" xfId="4" applyFont="1" applyFill="1" applyBorder="1" applyAlignment="1">
      <alignment horizontal="center" vertical="center" wrapText="1"/>
    </xf>
    <xf numFmtId="0" fontId="15" fillId="0" borderId="3" xfId="4" applyFont="1" applyBorder="1" applyAlignment="1" applyProtection="1">
      <alignment horizontal="center"/>
      <protection locked="0"/>
    </xf>
    <xf numFmtId="0" fontId="15" fillId="0" borderId="1" xfId="4" applyFont="1" applyBorder="1" applyAlignment="1" applyProtection="1">
      <alignment horizontal="center"/>
      <protection locked="0"/>
    </xf>
    <xf numFmtId="0" fontId="15" fillId="0" borderId="8" xfId="4" applyFont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/>
      <protection locked="0"/>
    </xf>
    <xf numFmtId="0" fontId="19" fillId="0" borderId="0" xfId="4" applyFont="1" applyAlignment="1" applyProtection="1">
      <alignment horizontal="left"/>
      <protection locked="0"/>
    </xf>
    <xf numFmtId="0" fontId="19" fillId="0" borderId="0" xfId="4" applyFont="1" applyProtection="1">
      <protection locked="0"/>
    </xf>
    <xf numFmtId="0" fontId="19" fillId="3" borderId="11" xfId="4" applyFont="1" applyFill="1" applyBorder="1" applyAlignment="1">
      <alignment vertical="center" wrapText="1"/>
    </xf>
    <xf numFmtId="0" fontId="3" fillId="0" borderId="0" xfId="4" applyFont="1" applyAlignment="1" applyProtection="1">
      <alignment horizontal="center"/>
      <protection locked="0"/>
    </xf>
    <xf numFmtId="0" fontId="8" fillId="3" borderId="11" xfId="4" applyFont="1" applyFill="1" applyBorder="1" applyAlignment="1">
      <alignment horizontal="center" vertical="center" wrapText="1"/>
    </xf>
    <xf numFmtId="0" fontId="14" fillId="0" borderId="0" xfId="4" applyAlignment="1" applyProtection="1">
      <alignment horizontal="center"/>
      <protection locked="0"/>
    </xf>
    <xf numFmtId="0" fontId="13" fillId="0" borderId="0" xfId="4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center"/>
      <protection locked="0"/>
    </xf>
    <xf numFmtId="0" fontId="19" fillId="3" borderId="10" xfId="4" applyFont="1" applyFill="1" applyBorder="1" applyAlignment="1">
      <alignment vertical="center"/>
    </xf>
    <xf numFmtId="0" fontId="6" fillId="0" borderId="6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0" fontId="19" fillId="0" borderId="6" xfId="4" applyFont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center" wrapText="1"/>
    </xf>
    <xf numFmtId="165" fontId="14" fillId="4" borderId="1" xfId="1" applyFill="1" applyBorder="1" applyAlignment="1">
      <alignment horizontal="right" vertical="center" wrapText="1"/>
    </xf>
    <xf numFmtId="165" fontId="14" fillId="0" borderId="1" xfId="1" applyBorder="1" applyAlignment="1">
      <alignment horizontal="right" vertical="center" wrapText="1"/>
    </xf>
    <xf numFmtId="15" fontId="14" fillId="4" borderId="1" xfId="0" applyNumberFormat="1" applyFont="1" applyFill="1" applyBorder="1" applyAlignment="1">
      <alignment horizontal="center" vertical="center" wrapText="1"/>
    </xf>
    <xf numFmtId="15" fontId="14" fillId="4" borderId="1" xfId="0" quotePrefix="1" applyNumberFormat="1" applyFont="1" applyFill="1" applyBorder="1" applyAlignment="1">
      <alignment horizontal="center" vertical="center" wrapText="1"/>
    </xf>
    <xf numFmtId="15" fontId="14" fillId="4" borderId="18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15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15" fontId="0" fillId="0" borderId="18" xfId="0" applyNumberFormat="1" applyBorder="1" applyAlignment="1">
      <alignment horizontal="center" vertical="center" wrapText="1"/>
    </xf>
    <xf numFmtId="15" fontId="0" fillId="0" borderId="18" xfId="0" applyNumberFormat="1" applyBorder="1" applyAlignment="1">
      <alignment horizontal="right" vertical="center" wrapText="1"/>
    </xf>
    <xf numFmtId="1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4" applyFont="1" applyBorder="1" applyProtection="1">
      <protection locked="0"/>
    </xf>
    <xf numFmtId="0" fontId="19" fillId="0" borderId="3" xfId="4" applyFont="1" applyBorder="1" applyProtection="1">
      <protection locked="0"/>
    </xf>
    <xf numFmtId="0" fontId="0" fillId="0" borderId="3" xfId="4" applyFon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0" borderId="3" xfId="4" applyNumberFormat="1" applyFont="1" applyBorder="1" applyProtection="1">
      <protection locked="0"/>
    </xf>
    <xf numFmtId="0" fontId="0" fillId="0" borderId="4" xfId="4" applyFont="1" applyBorder="1" applyProtection="1">
      <protection locked="0"/>
    </xf>
    <xf numFmtId="0" fontId="0" fillId="0" borderId="1" xfId="4" applyFont="1" applyBorder="1" applyProtection="1">
      <protection locked="0"/>
    </xf>
    <xf numFmtId="0" fontId="0" fillId="0" borderId="1" xfId="4" applyFont="1" applyBorder="1" applyAlignment="1" applyProtection="1">
      <alignment horizontal="center"/>
      <protection locked="0"/>
    </xf>
    <xf numFmtId="4" fontId="0" fillId="0" borderId="1" xfId="4" applyNumberFormat="1" applyFont="1" applyBorder="1" applyProtection="1">
      <protection locked="0"/>
    </xf>
    <xf numFmtId="0" fontId="0" fillId="0" borderId="9" xfId="4" applyFont="1" applyBorder="1" applyProtection="1">
      <protection locked="0"/>
    </xf>
    <xf numFmtId="0" fontId="0" fillId="4" borderId="1" xfId="0" applyFill="1" applyBorder="1" applyAlignment="1">
      <alignment horizontal="left" vertical="center" wrapText="1"/>
    </xf>
    <xf numFmtId="4" fontId="11" fillId="0" borderId="1" xfId="4" applyNumberFormat="1" applyFont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 applyProtection="1">
      <alignment horizontal="center" vertical="center"/>
      <protection locked="0"/>
    </xf>
    <xf numFmtId="0" fontId="11" fillId="0" borderId="1" xfId="4" applyFont="1" applyBorder="1" applyAlignment="1" applyProtection="1">
      <alignment vertical="center"/>
      <protection locked="0"/>
    </xf>
    <xf numFmtId="49" fontId="11" fillId="0" borderId="1" xfId="4" applyNumberFormat="1" applyFont="1" applyBorder="1" applyAlignment="1" applyProtection="1">
      <alignment horizontal="center" vertical="center"/>
      <protection locked="0"/>
    </xf>
    <xf numFmtId="0" fontId="11" fillId="0" borderId="9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vertical="center"/>
      <protection locked="0"/>
    </xf>
    <xf numFmtId="0" fontId="14" fillId="0" borderId="1" xfId="4" applyBorder="1" applyProtection="1">
      <protection locked="0"/>
    </xf>
    <xf numFmtId="165" fontId="14" fillId="4" borderId="1" xfId="1" applyFill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0" fontId="8" fillId="3" borderId="15" xfId="4" applyFont="1" applyFill="1" applyBorder="1" applyAlignment="1">
      <alignment vertical="center" wrapText="1"/>
    </xf>
    <xf numFmtId="0" fontId="21" fillId="3" borderId="1" xfId="4" applyFont="1" applyFill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4" fontId="11" fillId="0" borderId="13" xfId="4" applyNumberFormat="1" applyFont="1" applyBorder="1" applyAlignment="1" applyProtection="1">
      <alignment horizontal="center" vertical="center"/>
      <protection locked="0"/>
    </xf>
    <xf numFmtId="0" fontId="11" fillId="0" borderId="15" xfId="4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165" fontId="14" fillId="0" borderId="1" xfId="1" applyBorder="1" applyAlignment="1">
      <alignment horizontal="center" vertical="center" wrapText="1"/>
    </xf>
    <xf numFmtId="165" fontId="14" fillId="4" borderId="1" xfId="1" applyFill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top" wrapText="1"/>
    </xf>
    <xf numFmtId="15" fontId="0" fillId="0" borderId="1" xfId="0" applyNumberFormat="1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4" applyFont="1" applyBorder="1" applyProtection="1">
      <protection locked="0"/>
    </xf>
    <xf numFmtId="0" fontId="0" fillId="0" borderId="8" xfId="4" applyFont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4" fontId="0" fillId="0" borderId="8" xfId="4" applyNumberFormat="1" applyFont="1" applyBorder="1" applyProtection="1">
      <protection locked="0"/>
    </xf>
    <xf numFmtId="0" fontId="9" fillId="0" borderId="8" xfId="4" applyFont="1" applyBorder="1" applyProtection="1">
      <protection locked="0"/>
    </xf>
    <xf numFmtId="0" fontId="17" fillId="0" borderId="0" xfId="4" applyFont="1" applyAlignment="1" applyProtection="1">
      <alignment horizontal="center"/>
      <protection locked="0"/>
    </xf>
    <xf numFmtId="0" fontId="12" fillId="0" borderId="0" xfId="4" applyFont="1" applyAlignment="1" applyProtection="1">
      <alignment horizontal="right"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12" fillId="0" borderId="0" xfId="4" applyFont="1" applyAlignment="1" applyProtection="1">
      <alignment vertical="center"/>
      <protection locked="0"/>
    </xf>
    <xf numFmtId="0" fontId="19" fillId="0" borderId="0" xfId="4" applyFont="1" applyAlignment="1" applyProtection="1">
      <alignment horizontal="center" vertical="center" wrapText="1"/>
      <protection locked="0"/>
    </xf>
    <xf numFmtId="49" fontId="19" fillId="0" borderId="0" xfId="4" applyNumberFormat="1" applyFont="1" applyAlignment="1" applyProtection="1">
      <alignment horizontal="center" vertical="center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4" fillId="0" borderId="8" xfId="4" applyBorder="1" applyAlignment="1" applyProtection="1">
      <alignment horizontal="center"/>
      <protection locked="0"/>
    </xf>
    <xf numFmtId="0" fontId="14" fillId="0" borderId="1" xfId="4" applyBorder="1" applyAlignment="1" applyProtection="1">
      <alignment horizontal="center"/>
      <protection locked="0"/>
    </xf>
    <xf numFmtId="0" fontId="19" fillId="0" borderId="0" xfId="4" applyFont="1" applyAlignment="1" applyProtection="1">
      <alignment horizontal="center"/>
      <protection locked="0"/>
    </xf>
    <xf numFmtId="15" fontId="14" fillId="4" borderId="1" xfId="5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/>
      <protection locked="0"/>
    </xf>
    <xf numFmtId="0" fontId="11" fillId="4" borderId="1" xfId="4" applyFont="1" applyFill="1" applyBorder="1" applyAlignment="1" applyProtection="1">
      <alignment horizontal="center" vertical="center"/>
      <protection locked="0"/>
    </xf>
    <xf numFmtId="0" fontId="11" fillId="4" borderId="1" xfId="4" applyFont="1" applyFill="1" applyBorder="1" applyAlignment="1" applyProtection="1">
      <alignment vertical="center"/>
      <protection locked="0"/>
    </xf>
    <xf numFmtId="15" fontId="14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14" fillId="4" borderId="18" xfId="0" applyNumberFormat="1" applyFont="1" applyFill="1" applyBorder="1" applyAlignment="1" applyProtection="1">
      <alignment horizontal="center" vertical="center" wrapText="1"/>
      <protection locked="0"/>
    </xf>
    <xf numFmtId="15" fontId="15" fillId="4" borderId="1" xfId="4" applyNumberFormat="1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vertical="center" wrapText="1"/>
    </xf>
    <xf numFmtId="0" fontId="14" fillId="4" borderId="0" xfId="0" applyFont="1" applyFill="1"/>
    <xf numFmtId="0" fontId="14" fillId="4" borderId="8" xfId="0" applyFont="1" applyFill="1" applyBorder="1" applyAlignment="1">
      <alignment vertical="center" wrapText="1"/>
    </xf>
    <xf numFmtId="15" fontId="14" fillId="4" borderId="18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15" fontId="14" fillId="4" borderId="18" xfId="0" applyNumberFormat="1" applyFont="1" applyFill="1" applyBorder="1" applyAlignment="1">
      <alignment horizontal="center"/>
    </xf>
    <xf numFmtId="0" fontId="14" fillId="4" borderId="1" xfId="0" applyFont="1" applyFill="1" applyBorder="1"/>
    <xf numFmtId="165" fontId="14" fillId="4" borderId="0" xfId="1" applyFill="1" applyAlignment="1">
      <alignment horizontal="right"/>
    </xf>
    <xf numFmtId="15" fontId="0" fillId="4" borderId="1" xfId="0" applyNumberFormat="1" applyFill="1" applyBorder="1" applyAlignment="1" applyProtection="1">
      <alignment vertical="center" wrapText="1"/>
      <protection locked="0"/>
    </xf>
    <xf numFmtId="0" fontId="14" fillId="4" borderId="18" xfId="0" applyFont="1" applyFill="1" applyBorder="1" applyAlignment="1">
      <alignment horizontal="center" vertical="center"/>
    </xf>
    <xf numFmtId="16" fontId="14" fillId="4" borderId="18" xfId="0" applyNumberFormat="1" applyFont="1" applyFill="1" applyBorder="1" applyAlignment="1">
      <alignment horizontal="center" vertical="center" wrapText="1"/>
    </xf>
    <xf numFmtId="165" fontId="14" fillId="4" borderId="18" xfId="1" applyFill="1" applyBorder="1" applyAlignment="1">
      <alignment horizontal="right" vertical="center" wrapText="1"/>
    </xf>
    <xf numFmtId="4" fontId="11" fillId="0" borderId="21" xfId="4" applyNumberFormat="1" applyFont="1" applyBorder="1" applyAlignment="1" applyProtection="1">
      <alignment horizontal="center" vertical="center"/>
      <protection locked="0"/>
    </xf>
    <xf numFmtId="0" fontId="7" fillId="0" borderId="1" xfId="4" applyFont="1" applyBorder="1" applyAlignment="1" applyProtection="1">
      <alignment vertical="center"/>
      <protection locked="0"/>
    </xf>
    <xf numFmtId="4" fontId="11" fillId="0" borderId="18" xfId="4" applyNumberFormat="1" applyFont="1" applyBorder="1" applyAlignment="1" applyProtection="1">
      <alignment horizontal="center" vertical="center"/>
      <protection locked="0"/>
    </xf>
    <xf numFmtId="165" fontId="14" fillId="4" borderId="8" xfId="1" applyFill="1" applyBorder="1" applyAlignment="1">
      <alignment horizontal="right" vertical="center" wrapText="1"/>
    </xf>
    <xf numFmtId="15" fontId="14" fillId="4" borderId="8" xfId="0" applyNumberFormat="1" applyFont="1" applyFill="1" applyBorder="1" applyAlignment="1">
      <alignment horizontal="center" vertical="center" wrapText="1"/>
    </xf>
    <xf numFmtId="15" fontId="14" fillId="4" borderId="8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 wrapText="1"/>
    </xf>
    <xf numFmtId="0" fontId="8" fillId="3" borderId="0" xfId="4" applyFont="1" applyFill="1" applyAlignment="1">
      <alignment vertical="center" wrapText="1"/>
    </xf>
    <xf numFmtId="0" fontId="19" fillId="3" borderId="0" xfId="4" applyFont="1" applyFill="1" applyAlignment="1">
      <alignment vertical="center" wrapText="1"/>
    </xf>
    <xf numFmtId="0" fontId="17" fillId="3" borderId="0" xfId="4" applyFont="1" applyFill="1" applyAlignment="1">
      <alignment vertical="center" wrapText="1"/>
    </xf>
    <xf numFmtId="0" fontId="8" fillId="3" borderId="0" xfId="4" applyFont="1" applyFill="1" applyAlignment="1">
      <alignment horizontal="right" vertical="center" wrapText="1"/>
    </xf>
    <xf numFmtId="0" fontId="8" fillId="3" borderId="0" xfId="4" applyFont="1" applyFill="1" applyAlignment="1">
      <alignment horizontal="center" vertical="center" wrapText="1"/>
    </xf>
    <xf numFmtId="0" fontId="17" fillId="3" borderId="0" xfId="4" applyFont="1" applyFill="1" applyAlignment="1">
      <alignment horizontal="center" vertical="center" wrapText="1"/>
    </xf>
    <xf numFmtId="165" fontId="8" fillId="3" borderId="1" xfId="4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9" fillId="0" borderId="8" xfId="4" applyFont="1" applyBorder="1" applyProtection="1">
      <protection locked="0"/>
    </xf>
    <xf numFmtId="0" fontId="0" fillId="0" borderId="17" xfId="4" applyFont="1" applyBorder="1" applyProtection="1">
      <protection locked="0"/>
    </xf>
    <xf numFmtId="15" fontId="15" fillId="4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16" fontId="14" fillId="4" borderId="1" xfId="0" applyNumberFormat="1" applyFont="1" applyFill="1" applyBorder="1" applyAlignment="1">
      <alignment horizontal="left" vertical="center" wrapText="1"/>
    </xf>
    <xf numFmtId="4" fontId="0" fillId="0" borderId="13" xfId="4" applyNumberFormat="1" applyFont="1" applyBorder="1" applyProtection="1">
      <protection locked="0"/>
    </xf>
    <xf numFmtId="0" fontId="20" fillId="0" borderId="1" xfId="4" applyFont="1" applyBorder="1" applyAlignment="1" applyProtection="1">
      <alignment horizontal="center" vertical="center"/>
      <protection locked="0"/>
    </xf>
    <xf numFmtId="0" fontId="20" fillId="0" borderId="1" xfId="4" applyFont="1" applyBorder="1" applyAlignment="1" applyProtection="1">
      <alignment vertical="center"/>
      <protection locked="0"/>
    </xf>
    <xf numFmtId="49" fontId="20" fillId="0" borderId="1" xfId="4" applyNumberFormat="1" applyFont="1" applyBorder="1" applyAlignment="1" applyProtection="1">
      <alignment horizontal="center" vertical="center"/>
      <protection locked="0"/>
    </xf>
    <xf numFmtId="4" fontId="20" fillId="0" borderId="1" xfId="4" applyNumberFormat="1" applyFont="1" applyBorder="1" applyAlignment="1" applyProtection="1">
      <alignment horizontal="center" vertical="center"/>
      <protection locked="0"/>
    </xf>
    <xf numFmtId="0" fontId="0" fillId="0" borderId="1" xfId="4" applyFont="1" applyBorder="1" applyAlignment="1" applyProtection="1">
      <alignment vertical="center"/>
      <protection locked="0"/>
    </xf>
    <xf numFmtId="0" fontId="20" fillId="0" borderId="15" xfId="4" applyFont="1" applyBorder="1" applyAlignment="1" applyProtection="1">
      <alignment horizontal="center" vertical="center"/>
      <protection locked="0"/>
    </xf>
    <xf numFmtId="0" fontId="14" fillId="0" borderId="15" xfId="4" applyBorder="1" applyProtection="1">
      <protection locked="0"/>
    </xf>
    <xf numFmtId="0" fontId="11" fillId="0" borderId="13" xfId="4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9" fillId="3" borderId="24" xfId="4" applyFont="1" applyFill="1" applyBorder="1" applyAlignment="1">
      <alignment vertical="center"/>
    </xf>
    <xf numFmtId="0" fontId="15" fillId="0" borderId="1" xfId="4" applyFont="1" applyBorder="1" applyProtection="1">
      <protection locked="0"/>
    </xf>
    <xf numFmtId="0" fontId="14" fillId="0" borderId="1" xfId="4" applyBorder="1" applyAlignment="1" applyProtection="1">
      <alignment horizontal="right"/>
      <protection locked="0"/>
    </xf>
    <xf numFmtId="165" fontId="14" fillId="4" borderId="1" xfId="1" applyFill="1" applyBorder="1" applyAlignment="1">
      <alignment horizontal="left" vertical="center" wrapText="1"/>
    </xf>
    <xf numFmtId="0" fontId="0" fillId="0" borderId="1" xfId="4" applyFont="1" applyBorder="1" applyAlignment="1" applyProtection="1">
      <alignment horizontal="left"/>
      <protection locked="0"/>
    </xf>
    <xf numFmtId="15" fontId="14" fillId="4" borderId="1" xfId="0" applyNumberFormat="1" applyFont="1" applyFill="1" applyBorder="1" applyAlignment="1">
      <alignment horizontal="left" vertical="center" wrapText="1"/>
    </xf>
    <xf numFmtId="4" fontId="0" fillId="0" borderId="1" xfId="4" applyNumberFormat="1" applyFont="1" applyBorder="1" applyAlignment="1" applyProtection="1">
      <alignment horizontal="left"/>
      <protection locked="0"/>
    </xf>
    <xf numFmtId="0" fontId="0" fillId="0" borderId="0" xfId="4" applyFont="1" applyAlignment="1" applyProtection="1">
      <alignment horizontal="left"/>
      <protection locked="0"/>
    </xf>
    <xf numFmtId="0" fontId="14" fillId="0" borderId="21" xfId="0" applyFont="1" applyBorder="1" applyAlignment="1">
      <alignment horizontal="center" vertical="center" wrapText="1"/>
    </xf>
    <xf numFmtId="15" fontId="14" fillId="4" borderId="21" xfId="0" applyNumberFormat="1" applyFont="1" applyFill="1" applyBorder="1" applyAlignment="1">
      <alignment horizontal="center" vertical="center" wrapText="1"/>
    </xf>
    <xf numFmtId="0" fontId="0" fillId="0" borderId="8" xfId="4" applyFont="1" applyBorder="1" applyAlignment="1" applyProtection="1">
      <alignment horizontal="left"/>
      <protection locked="0"/>
    </xf>
    <xf numFmtId="15" fontId="14" fillId="4" borderId="8" xfId="0" applyNumberFormat="1" applyFont="1" applyFill="1" applyBorder="1" applyAlignment="1">
      <alignment horizontal="left" vertical="center" wrapText="1"/>
    </xf>
    <xf numFmtId="15" fontId="14" fillId="4" borderId="8" xfId="0" applyNumberFormat="1" applyFont="1" applyFill="1" applyBorder="1" applyAlignment="1">
      <alignment horizontal="left"/>
    </xf>
    <xf numFmtId="165" fontId="14" fillId="4" borderId="8" xfId="1" applyFill="1" applyBorder="1" applyAlignment="1">
      <alignment horizontal="left" vertical="center" wrapText="1"/>
    </xf>
    <xf numFmtId="4" fontId="0" fillId="0" borderId="8" xfId="4" applyNumberFormat="1" applyFont="1" applyBorder="1" applyAlignment="1" applyProtection="1">
      <alignment horizontal="left"/>
      <protection locked="0"/>
    </xf>
    <xf numFmtId="0" fontId="19" fillId="0" borderId="1" xfId="4" applyFont="1" applyBorder="1" applyAlignment="1" applyProtection="1">
      <alignment horizontal="left"/>
      <protection locked="0"/>
    </xf>
    <xf numFmtId="0" fontId="0" fillId="0" borderId="15" xfId="4" applyFont="1" applyBorder="1" applyAlignment="1" applyProtection="1">
      <alignment horizontal="left"/>
      <protection locked="0"/>
    </xf>
    <xf numFmtId="0" fontId="0" fillId="0" borderId="13" xfId="4" applyFont="1" applyBorder="1" applyAlignment="1" applyProtection="1">
      <alignment horizontal="left"/>
      <protection locked="0"/>
    </xf>
    <xf numFmtId="0" fontId="14" fillId="4" borderId="21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vertical="center"/>
    </xf>
    <xf numFmtId="0" fontId="8" fillId="3" borderId="1" xfId="4" applyFont="1" applyFill="1" applyBorder="1" applyAlignment="1">
      <alignment horizontal="center" vertical="center" wrapText="1"/>
    </xf>
    <xf numFmtId="0" fontId="19" fillId="3" borderId="1" xfId="4" applyFont="1" applyFill="1" applyBorder="1" applyAlignment="1">
      <alignment vertical="center" wrapText="1"/>
    </xf>
    <xf numFmtId="0" fontId="8" fillId="3" borderId="1" xfId="4" applyFont="1" applyFill="1" applyBorder="1" applyAlignment="1">
      <alignment horizontal="right" vertical="center" wrapText="1"/>
    </xf>
    <xf numFmtId="0" fontId="17" fillId="3" borderId="1" xfId="4" applyFont="1" applyFill="1" applyBorder="1" applyAlignment="1">
      <alignment horizontal="center" vertical="center" wrapText="1"/>
    </xf>
    <xf numFmtId="0" fontId="19" fillId="0" borderId="1" xfId="4" applyFont="1" applyBorder="1" applyProtection="1">
      <protection locked="0"/>
    </xf>
    <xf numFmtId="15" fontId="0" fillId="0" borderId="1" xfId="0" applyNumberFormat="1" applyBorder="1" applyAlignment="1">
      <alignment vertical="center" wrapText="1"/>
    </xf>
    <xf numFmtId="165" fontId="14" fillId="4" borderId="15" xfId="1" applyFill="1" applyBorder="1" applyAlignment="1">
      <alignment horizontal="right" vertical="center" wrapText="1"/>
    </xf>
    <xf numFmtId="0" fontId="14" fillId="4" borderId="20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7" fillId="3" borderId="1" xfId="4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65" fontId="15" fillId="4" borderId="1" xfId="1" applyFont="1" applyFill="1" applyBorder="1" applyAlignment="1">
      <alignment horizontal="right" vertical="center" wrapText="1"/>
    </xf>
    <xf numFmtId="15" fontId="0" fillId="4" borderId="1" xfId="0" applyNumberFormat="1" applyFill="1" applyBorder="1" applyAlignment="1">
      <alignment horizontal="center" vertical="center" wrapText="1"/>
    </xf>
    <xf numFmtId="15" fontId="0" fillId="4" borderId="18" xfId="0" applyNumberFormat="1" applyFill="1" applyBorder="1" applyAlignment="1">
      <alignment horizontal="center" vertical="center" wrapText="1"/>
    </xf>
    <xf numFmtId="15" fontId="0" fillId="4" borderId="18" xfId="0" applyNumberFormat="1" applyFill="1" applyBorder="1" applyAlignment="1" applyProtection="1">
      <alignment horizontal="center" vertical="center" wrapText="1"/>
      <protection locked="0"/>
    </xf>
    <xf numFmtId="15" fontId="0" fillId="4" borderId="1" xfId="4" applyNumberFormat="1" applyFont="1" applyFill="1" applyBorder="1" applyAlignment="1" applyProtection="1">
      <alignment horizontal="center"/>
      <protection locked="0"/>
    </xf>
    <xf numFmtId="15" fontId="0" fillId="4" borderId="1" xfId="0" applyNumberFormat="1" applyFill="1" applyBorder="1" applyAlignment="1">
      <alignment horizontal="center"/>
    </xf>
    <xf numFmtId="0" fontId="0" fillId="0" borderId="20" xfId="4" applyFont="1" applyBorder="1" applyAlignment="1" applyProtection="1">
      <alignment vertical="center"/>
      <protection locked="0"/>
    </xf>
    <xf numFmtId="0" fontId="7" fillId="0" borderId="20" xfId="4" applyFont="1" applyBorder="1" applyAlignment="1" applyProtection="1">
      <alignment vertical="center"/>
      <protection locked="0"/>
    </xf>
    <xf numFmtId="0" fontId="3" fillId="0" borderId="0" xfId="4" applyFont="1" applyBorder="1" applyAlignment="1" applyProtection="1">
      <alignment horizontal="left"/>
      <protection locked="0"/>
    </xf>
    <xf numFmtId="0" fontId="4" fillId="0" borderId="0" xfId="4" applyFont="1" applyBorder="1" applyProtection="1">
      <protection locked="0"/>
    </xf>
    <xf numFmtId="0" fontId="0" fillId="0" borderId="0" xfId="4" applyFont="1" applyBorder="1" applyProtection="1">
      <protection locked="0"/>
    </xf>
    <xf numFmtId="0" fontId="6" fillId="0" borderId="0" xfId="4" applyFont="1" applyBorder="1" applyAlignment="1" applyProtection="1">
      <alignment horizontal="center" vertical="top" wrapText="1"/>
      <protection locked="0"/>
    </xf>
    <xf numFmtId="0" fontId="7" fillId="0" borderId="0" xfId="4" applyFont="1" applyBorder="1" applyProtection="1">
      <protection locked="0"/>
    </xf>
    <xf numFmtId="0" fontId="7" fillId="0" borderId="0" xfId="4" applyFont="1" applyBorder="1" applyAlignment="1" applyProtection="1">
      <alignment vertical="center"/>
      <protection locked="0"/>
    </xf>
    <xf numFmtId="0" fontId="0" fillId="0" borderId="0" xfId="4" applyFont="1" applyBorder="1" applyAlignment="1" applyProtection="1">
      <alignment vertical="center"/>
      <protection locked="0"/>
    </xf>
    <xf numFmtId="0" fontId="14" fillId="0" borderId="0" xfId="4" applyBorder="1" applyProtection="1">
      <protection locked="0"/>
    </xf>
    <xf numFmtId="49" fontId="0" fillId="0" borderId="0" xfId="4" applyNumberFormat="1" applyFont="1" applyBorder="1" applyAlignment="1" applyProtection="1">
      <alignment horizontal="center" vertical="center"/>
      <protection locked="0"/>
    </xf>
    <xf numFmtId="0" fontId="12" fillId="0" borderId="0" xfId="4" applyFont="1" applyBorder="1" applyProtection="1">
      <protection locked="0"/>
    </xf>
    <xf numFmtId="0" fontId="13" fillId="0" borderId="0" xfId="4" applyFont="1" applyBorder="1" applyProtection="1">
      <protection locked="0"/>
    </xf>
    <xf numFmtId="0" fontId="10" fillId="0" borderId="1" xfId="4" applyFont="1" applyBorder="1" applyAlignment="1">
      <alignment horizontal="right" vertical="center"/>
    </xf>
    <xf numFmtId="165" fontId="14" fillId="0" borderId="13" xfId="1" applyBorder="1"/>
    <xf numFmtId="165" fontId="14" fillId="0" borderId="14" xfId="1" applyBorder="1"/>
    <xf numFmtId="0" fontId="10" fillId="0" borderId="8" xfId="4" applyFont="1" applyBorder="1" applyAlignment="1">
      <alignment horizontal="right" vertical="center"/>
    </xf>
    <xf numFmtId="165" fontId="14" fillId="0" borderId="1" xfId="1" applyBorder="1"/>
    <xf numFmtId="49" fontId="6" fillId="0" borderId="8" xfId="4" applyNumberFormat="1" applyFont="1" applyBorder="1" applyAlignment="1">
      <alignment horizontal="center" vertical="center"/>
    </xf>
    <xf numFmtId="0" fontId="8" fillId="0" borderId="8" xfId="4" applyFont="1" applyBorder="1" applyAlignment="1">
      <alignment horizontal="right" vertical="center"/>
    </xf>
    <xf numFmtId="165" fontId="14" fillId="0" borderId="8" xfId="4" applyNumberFormat="1" applyBorder="1" applyAlignment="1">
      <alignment horizontal="center"/>
    </xf>
    <xf numFmtId="0" fontId="14" fillId="0" borderId="8" xfId="4" applyBorder="1" applyAlignment="1">
      <alignment horizontal="center"/>
    </xf>
    <xf numFmtId="0" fontId="14" fillId="0" borderId="13" xfId="4" applyBorder="1" applyAlignment="1">
      <alignment horizontal="center"/>
    </xf>
    <xf numFmtId="0" fontId="8" fillId="0" borderId="1" xfId="4" applyFont="1" applyBorder="1" applyAlignment="1">
      <alignment horizontal="right" vertical="center"/>
    </xf>
    <xf numFmtId="0" fontId="14" fillId="0" borderId="1" xfId="4" applyBorder="1" applyAlignment="1">
      <alignment horizontal="center"/>
    </xf>
    <xf numFmtId="165" fontId="14" fillId="0" borderId="15" xfId="1" applyBorder="1"/>
    <xf numFmtId="165" fontId="14" fillId="0" borderId="16" xfId="1" applyBorder="1"/>
    <xf numFmtId="0" fontId="6" fillId="0" borderId="19" xfId="4" applyFont="1" applyBorder="1" applyAlignment="1">
      <alignment horizontal="center" vertical="top" wrapText="1"/>
    </xf>
    <xf numFmtId="0" fontId="6" fillId="0" borderId="25" xfId="4" applyFont="1" applyBorder="1" applyAlignment="1">
      <alignment horizontal="center" vertical="top" wrapText="1"/>
    </xf>
    <xf numFmtId="0" fontId="6" fillId="0" borderId="3" xfId="4" applyFont="1" applyBorder="1" applyAlignment="1">
      <alignment horizontal="center" vertical="top" wrapText="1"/>
    </xf>
    <xf numFmtId="0" fontId="6" fillId="0" borderId="6" xfId="4" applyFont="1" applyBorder="1" applyAlignment="1">
      <alignment horizontal="center" vertical="top" wrapText="1"/>
    </xf>
    <xf numFmtId="0" fontId="19" fillId="0" borderId="3" xfId="4" applyFont="1" applyBorder="1" applyAlignment="1">
      <alignment horizontal="center" vertical="top" wrapText="1"/>
    </xf>
    <xf numFmtId="0" fontId="19" fillId="0" borderId="6" xfId="4" applyFont="1" applyBorder="1" applyAlignment="1">
      <alignment horizontal="center" vertical="top" wrapText="1"/>
    </xf>
    <xf numFmtId="0" fontId="19" fillId="0" borderId="2" xfId="4" applyFont="1" applyBorder="1" applyAlignment="1">
      <alignment horizontal="center" vertical="top" wrapText="1"/>
    </xf>
    <xf numFmtId="0" fontId="19" fillId="0" borderId="5" xfId="4" applyFont="1" applyBorder="1" applyAlignment="1">
      <alignment horizontal="center" vertical="top" wrapText="1"/>
    </xf>
    <xf numFmtId="165" fontId="14" fillId="0" borderId="20" xfId="1" applyBorder="1"/>
    <xf numFmtId="0" fontId="6" fillId="0" borderId="4" xfId="4" applyFont="1" applyBorder="1" applyAlignment="1">
      <alignment horizontal="center" vertical="top" wrapText="1"/>
    </xf>
    <xf numFmtId="0" fontId="6" fillId="0" borderId="7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6" xfId="4" applyFont="1" applyBorder="1" applyAlignment="1">
      <alignment horizontal="center" vertical="top" wrapText="1"/>
    </xf>
    <xf numFmtId="165" fontId="14" fillId="0" borderId="0" xfId="1"/>
    <xf numFmtId="0" fontId="8" fillId="0" borderId="15" xfId="4" applyFont="1" applyBorder="1" applyAlignment="1">
      <alignment horizontal="right" vertical="center"/>
    </xf>
    <xf numFmtId="0" fontId="8" fillId="0" borderId="16" xfId="4" applyFont="1" applyBorder="1" applyAlignment="1">
      <alignment horizontal="right" vertical="center"/>
    </xf>
    <xf numFmtId="0" fontId="8" fillId="0" borderId="20" xfId="4" applyFont="1" applyBorder="1" applyAlignment="1">
      <alignment horizontal="right" vertical="center"/>
    </xf>
    <xf numFmtId="165" fontId="14" fillId="0" borderId="22" xfId="1" applyBorder="1"/>
    <xf numFmtId="0" fontId="6" fillId="0" borderId="1" xfId="4" applyFont="1" applyBorder="1" applyAlignment="1">
      <alignment horizontal="center" vertical="top" wrapText="1"/>
    </xf>
    <xf numFmtId="0" fontId="10" fillId="0" borderId="18" xfId="4" applyFont="1" applyBorder="1" applyAlignment="1">
      <alignment horizontal="right" vertical="center"/>
    </xf>
    <xf numFmtId="165" fontId="14" fillId="0" borderId="23" xfId="1" applyBorder="1"/>
  </cellXfs>
  <cellStyles count="8">
    <cellStyle name="Comma" xfId="1" builtinId="3"/>
    <cellStyle name="Comma 2" xfId="6"/>
    <cellStyle name="Excel Built-in Normal" xfId="4"/>
    <cellStyle name="Normal" xfId="0" builtinId="0"/>
    <cellStyle name="Normal 2" xfId="5"/>
    <cellStyle name="Percent 2" xfId="7"/>
    <cellStyle name="Untitled1" xfId="2"/>
    <cellStyle name="Untitled2" xfId="3"/>
  </cellStyles>
  <dxfs count="4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953452</xdr:colOff>
      <xdr:row>432</xdr:row>
      <xdr:rowOff>76200</xdr:rowOff>
    </xdr:from>
    <xdr:to>
      <xdr:col>33</xdr:col>
      <xdr:colOff>790575</xdr:colOff>
      <xdr:row>436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D8566B1-7F1D-4752-BF80-C4310D8E5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8877" y="72494775"/>
          <a:ext cx="1523048" cy="704850"/>
        </a:xfrm>
        <a:prstGeom prst="rect">
          <a:avLst/>
        </a:prstGeom>
      </xdr:spPr>
    </xdr:pic>
    <xdr:clientData/>
  </xdr:twoCellAnchor>
  <xdr:twoCellAnchor editAs="oneCell">
    <xdr:from>
      <xdr:col>21</xdr:col>
      <xdr:colOff>104775</xdr:colOff>
      <xdr:row>431</xdr:row>
      <xdr:rowOff>161925</xdr:rowOff>
    </xdr:from>
    <xdr:to>
      <xdr:col>23</xdr:col>
      <xdr:colOff>276225</xdr:colOff>
      <xdr:row>436</xdr:row>
      <xdr:rowOff>123825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4C0A4EF-C7EB-4BEC-B876-AD013E565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0" y="7410450"/>
          <a:ext cx="1819275" cy="771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32385</xdr:colOff>
      <xdr:row>30</xdr:row>
      <xdr:rowOff>104774</xdr:rowOff>
    </xdr:from>
    <xdr:to>
      <xdr:col>33</xdr:col>
      <xdr:colOff>748667</xdr:colOff>
      <xdr:row>36</xdr:row>
      <xdr:rowOff>38100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2E99C07-A094-4059-9D4D-FB8C426E9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6560" y="9534524"/>
          <a:ext cx="1478282" cy="923926"/>
        </a:xfrm>
        <a:prstGeom prst="rect">
          <a:avLst/>
        </a:prstGeom>
      </xdr:spPr>
    </xdr:pic>
    <xdr:clientData/>
  </xdr:twoCellAnchor>
  <xdr:twoCellAnchor editAs="oneCell">
    <xdr:from>
      <xdr:col>21</xdr:col>
      <xdr:colOff>38100</xdr:colOff>
      <xdr:row>31</xdr:row>
      <xdr:rowOff>72896</xdr:rowOff>
    </xdr:from>
    <xdr:to>
      <xdr:col>22</xdr:col>
      <xdr:colOff>342900</xdr:colOff>
      <xdr:row>35</xdr:row>
      <xdr:rowOff>66675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46D83FC-E318-43E2-B862-90342C63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9693146"/>
          <a:ext cx="1428750" cy="641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943927</xdr:colOff>
      <xdr:row>34</xdr:row>
      <xdr:rowOff>180975</xdr:rowOff>
    </xdr:from>
    <xdr:to>
      <xdr:col>34</xdr:col>
      <xdr:colOff>19050</xdr:colOff>
      <xdr:row>40</xdr:row>
      <xdr:rowOff>9525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F746B95-BA10-4933-AABE-FE5FED404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69352" y="7620000"/>
          <a:ext cx="1580198" cy="933450"/>
        </a:xfrm>
        <a:prstGeom prst="rect">
          <a:avLst/>
        </a:prstGeom>
      </xdr:spPr>
    </xdr:pic>
    <xdr:clientData/>
  </xdr:twoCellAnchor>
  <xdr:twoCellAnchor editAs="oneCell">
    <xdr:from>
      <xdr:col>21</xdr:col>
      <xdr:colOff>104775</xdr:colOff>
      <xdr:row>33</xdr:row>
      <xdr:rowOff>161925</xdr:rowOff>
    </xdr:from>
    <xdr:to>
      <xdr:col>23</xdr:col>
      <xdr:colOff>361950</xdr:colOff>
      <xdr:row>38</xdr:row>
      <xdr:rowOff>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B280519-52AF-4D86-BE6F-22B75DA38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50" y="7410450"/>
          <a:ext cx="181927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138</xdr:row>
      <xdr:rowOff>166686</xdr:rowOff>
    </xdr:from>
    <xdr:to>
      <xdr:col>33</xdr:col>
      <xdr:colOff>714375</xdr:colOff>
      <xdr:row>143</xdr:row>
      <xdr:rowOff>152399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6876183-4208-466A-A458-3B2E908A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0850" y="25703211"/>
          <a:ext cx="1409700" cy="881063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140</xdr:row>
      <xdr:rowOff>0</xdr:rowOff>
    </xdr:from>
    <xdr:to>
      <xdr:col>22</xdr:col>
      <xdr:colOff>698912</xdr:colOff>
      <xdr:row>144</xdr:row>
      <xdr:rowOff>72838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C2E90A2-79E8-4063-AC8D-B43F7F979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975" y="13001625"/>
          <a:ext cx="1822862" cy="7681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32385</xdr:colOff>
      <xdr:row>47</xdr:row>
      <xdr:rowOff>104774</xdr:rowOff>
    </xdr:from>
    <xdr:to>
      <xdr:col>33</xdr:col>
      <xdr:colOff>805817</xdr:colOff>
      <xdr:row>52</xdr:row>
      <xdr:rowOff>95250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BEA5516-7F2F-4897-A692-D2418677E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86560" y="7058024"/>
          <a:ext cx="1478282" cy="923926"/>
        </a:xfrm>
        <a:prstGeom prst="rect">
          <a:avLst/>
        </a:prstGeom>
      </xdr:spPr>
    </xdr:pic>
    <xdr:clientData/>
  </xdr:twoCellAnchor>
  <xdr:twoCellAnchor editAs="oneCell">
    <xdr:from>
      <xdr:col>21</xdr:col>
      <xdr:colOff>38100</xdr:colOff>
      <xdr:row>48</xdr:row>
      <xdr:rowOff>72896</xdr:rowOff>
    </xdr:from>
    <xdr:to>
      <xdr:col>22</xdr:col>
      <xdr:colOff>400050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F652B5D-B4EC-4566-AED1-D02D9A7A1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7216646"/>
          <a:ext cx="1428750" cy="641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952500</xdr:colOff>
      <xdr:row>85</xdr:row>
      <xdr:rowOff>176212</xdr:rowOff>
    </xdr:from>
    <xdr:to>
      <xdr:col>34</xdr:col>
      <xdr:colOff>9524</xdr:colOff>
      <xdr:row>91</xdr:row>
      <xdr:rowOff>76199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D93D122-E4F7-4E75-9031-FF11ABAFD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1800" y="15921037"/>
          <a:ext cx="1562099" cy="97631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87</xdr:row>
      <xdr:rowOff>1</xdr:rowOff>
    </xdr:from>
    <xdr:to>
      <xdr:col>23</xdr:col>
      <xdr:colOff>32162</xdr:colOff>
      <xdr:row>90</xdr:row>
      <xdr:rowOff>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13E437AD-2F2F-4916-91E8-A1CB9045D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3975" y="10544176"/>
          <a:ext cx="1822862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26</xdr:row>
      <xdr:rowOff>152399</xdr:rowOff>
    </xdr:from>
    <xdr:to>
      <xdr:col>33</xdr:col>
      <xdr:colOff>752475</xdr:colOff>
      <xdr:row>31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33A263F-8347-45B8-9693-8CBBB2824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9900" y="5514974"/>
          <a:ext cx="1447800" cy="904875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27</xdr:row>
      <xdr:rowOff>95250</xdr:rowOff>
    </xdr:from>
    <xdr:to>
      <xdr:col>22</xdr:col>
      <xdr:colOff>714375</xdr:colOff>
      <xdr:row>30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8B6D2D8-6AB0-4963-87B9-CD39C12D4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5648325"/>
          <a:ext cx="1590675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19049</xdr:colOff>
      <xdr:row>23</xdr:row>
      <xdr:rowOff>17858</xdr:rowOff>
    </xdr:from>
    <xdr:to>
      <xdr:col>33</xdr:col>
      <xdr:colOff>809624</xdr:colOff>
      <xdr:row>28</xdr:row>
      <xdr:rowOff>19049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BB490D1-0779-47AA-8124-B83A995E5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4324" y="5304233"/>
          <a:ext cx="1495425" cy="934641"/>
        </a:xfrm>
        <a:prstGeom prst="rect">
          <a:avLst/>
        </a:prstGeom>
      </xdr:spPr>
    </xdr:pic>
    <xdr:clientData/>
  </xdr:twoCellAnchor>
  <xdr:twoCellAnchor editAs="oneCell">
    <xdr:from>
      <xdr:col>20</xdr:col>
      <xdr:colOff>816994</xdr:colOff>
      <xdr:row>24</xdr:row>
      <xdr:rowOff>114301</xdr:rowOff>
    </xdr:from>
    <xdr:to>
      <xdr:col>22</xdr:col>
      <xdr:colOff>613568</xdr:colOff>
      <xdr:row>28</xdr:row>
      <xdr:rowOff>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5601CDC-4160-42FA-B70B-68698A27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8944" y="5591176"/>
          <a:ext cx="1653949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28574</xdr:colOff>
      <xdr:row>34</xdr:row>
      <xdr:rowOff>55958</xdr:rowOff>
    </xdr:from>
    <xdr:to>
      <xdr:col>33</xdr:col>
      <xdr:colOff>819149</xdr:colOff>
      <xdr:row>39</xdr:row>
      <xdr:rowOff>66674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B079BE4-34A8-4C84-A35E-30575D218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3824" y="5551883"/>
          <a:ext cx="1495425" cy="934641"/>
        </a:xfrm>
        <a:prstGeom prst="rect">
          <a:avLst/>
        </a:prstGeom>
      </xdr:spPr>
    </xdr:pic>
    <xdr:clientData/>
  </xdr:twoCellAnchor>
  <xdr:twoCellAnchor editAs="oneCell">
    <xdr:from>
      <xdr:col>21</xdr:col>
      <xdr:colOff>38099</xdr:colOff>
      <xdr:row>34</xdr:row>
      <xdr:rowOff>104775</xdr:rowOff>
    </xdr:from>
    <xdr:to>
      <xdr:col>22</xdr:col>
      <xdr:colOff>876299</xdr:colOff>
      <xdr:row>37</xdr:row>
      <xdr:rowOff>149728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6C28D8F-B9EC-46E2-A0A0-6176B7656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4" y="5600700"/>
          <a:ext cx="1533525" cy="6069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44</xdr:row>
      <xdr:rowOff>0</xdr:rowOff>
    </xdr:from>
    <xdr:to>
      <xdr:col>22</xdr:col>
      <xdr:colOff>638175</xdr:colOff>
      <xdr:row>47</xdr:row>
      <xdr:rowOff>54478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AFCF36E-30E7-4842-96D8-39E6FCEF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8591550"/>
          <a:ext cx="1533525" cy="606928"/>
        </a:xfrm>
        <a:prstGeom prst="rect">
          <a:avLst/>
        </a:prstGeom>
      </xdr:spPr>
    </xdr:pic>
    <xdr:clientData/>
  </xdr:twoCellAnchor>
  <xdr:twoCellAnchor editAs="oneCell">
    <xdr:from>
      <xdr:col>32</xdr:col>
      <xdr:colOff>0</xdr:colOff>
      <xdr:row>44</xdr:row>
      <xdr:rowOff>0</xdr:rowOff>
    </xdr:from>
    <xdr:to>
      <xdr:col>33</xdr:col>
      <xdr:colOff>790575</xdr:colOff>
      <xdr:row>47</xdr:row>
      <xdr:rowOff>66675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53471C6B-F1AD-45E4-9D7F-C204D2FE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30375" y="8591550"/>
          <a:ext cx="149542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R%202022%20WITH%20ACCOUNT%20CODES\FOR%20ANNUAL%202022\DECEMBER%202022\UPDATED%20AS%20OF%20COMBINE%20UNI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N-GOING MOOE"/>
      <sheetName val="ON-GOING SPL"/>
      <sheetName val="COMPLETED MOOE"/>
      <sheetName val="COMPLETED SPL"/>
      <sheetName val="RECAP-MOOE"/>
      <sheetName val="RECAP-SPL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34"/>
  <sheetViews>
    <sheetView tabSelected="1" topLeftCell="A301" workbookViewId="0">
      <selection activeCell="V115" sqref="V115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0" style="20" customWidth="1"/>
    <col min="23" max="23" width="13.42578125" style="20" customWidth="1"/>
    <col min="24" max="24" width="12.5703125" style="65" customWidth="1"/>
    <col min="25" max="25" width="17.42578125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.85546875" style="54" customWidth="1"/>
    <col min="37" max="37" width="11.7109375" style="20" customWidth="1"/>
    <col min="38" max="38" width="10.85546875" style="65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53"/>
      <c r="AL2" s="136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183</v>
      </c>
      <c r="W4" s="9"/>
      <c r="X4" s="14"/>
      <c r="AH4" s="61"/>
      <c r="AJ4" s="53"/>
      <c r="AL4" s="136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X5" s="15"/>
      <c r="AH5" s="20"/>
      <c r="AJ5" s="54"/>
      <c r="AL5" s="65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0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56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119" t="s">
        <v>36</v>
      </c>
      <c r="AK7" s="30" t="s">
        <v>37</v>
      </c>
      <c r="AL7" s="261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57"/>
    </row>
    <row r="8" spans="1:52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5"/>
      <c r="AK8" s="31"/>
      <c r="AL8" s="64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1"/>
    </row>
    <row r="9" spans="1:52" s="102" customFormat="1" ht="12.6" customHeight="1" x14ac:dyDescent="0.2">
      <c r="A9" s="72" t="s">
        <v>154</v>
      </c>
      <c r="B9" s="72" t="s">
        <v>131</v>
      </c>
      <c r="C9" s="140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0"/>
      <c r="R9" s="140"/>
      <c r="S9" s="140"/>
      <c r="T9" s="73">
        <v>5500</v>
      </c>
      <c r="U9" s="141"/>
      <c r="V9" s="72" t="s">
        <v>95</v>
      </c>
      <c r="W9" s="2"/>
      <c r="X9" s="2">
        <v>53.9</v>
      </c>
      <c r="Y9" s="46"/>
      <c r="Z9" s="100"/>
      <c r="AA9" s="98"/>
      <c r="AB9" s="98"/>
      <c r="AC9" s="100"/>
      <c r="AD9" s="100"/>
      <c r="AE9" s="100"/>
      <c r="AF9" s="100"/>
      <c r="AG9" s="142">
        <v>44641</v>
      </c>
      <c r="AH9" s="142">
        <v>44641</v>
      </c>
      <c r="AI9" s="143">
        <v>44658</v>
      </c>
      <c r="AJ9" s="144">
        <v>44664</v>
      </c>
      <c r="AK9" s="144">
        <v>44664</v>
      </c>
      <c r="AL9" s="135" t="s">
        <v>31</v>
      </c>
      <c r="AM9" s="73">
        <v>5500</v>
      </c>
      <c r="AN9" s="96"/>
      <c r="AO9" s="96"/>
      <c r="AP9" s="73">
        <v>5440</v>
      </c>
      <c r="AQ9" s="96"/>
      <c r="AR9" s="96"/>
      <c r="AS9" s="98"/>
      <c r="AT9" s="98"/>
      <c r="AU9" s="98"/>
      <c r="AV9" s="98"/>
      <c r="AW9" s="98"/>
      <c r="AX9" s="98"/>
      <c r="AY9" s="98"/>
      <c r="AZ9" s="101"/>
    </row>
    <row r="10" spans="1:52" s="19" customFormat="1" ht="12.6" customHeight="1" x14ac:dyDescent="0.2">
      <c r="A10" s="72" t="s">
        <v>137</v>
      </c>
      <c r="B10" s="72" t="s">
        <v>112</v>
      </c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0"/>
      <c r="R10" s="40"/>
      <c r="S10" s="40"/>
      <c r="T10" s="73">
        <f>82570+70000</f>
        <v>152570</v>
      </c>
      <c r="U10" s="41"/>
      <c r="V10" s="72" t="s">
        <v>95</v>
      </c>
      <c r="W10" s="42"/>
      <c r="X10" s="2">
        <v>53.9</v>
      </c>
      <c r="Y10" s="113"/>
      <c r="Z10" s="43"/>
      <c r="AA10" s="40"/>
      <c r="AB10" s="40"/>
      <c r="AC10" s="43"/>
      <c r="AD10" s="43"/>
      <c r="AE10" s="43"/>
      <c r="AF10" s="43"/>
      <c r="AG10" s="142">
        <v>44642</v>
      </c>
      <c r="AH10" s="142">
        <v>44642</v>
      </c>
      <c r="AI10" s="77">
        <v>44728</v>
      </c>
      <c r="AJ10" s="79">
        <v>44734</v>
      </c>
      <c r="AK10" s="79">
        <v>44734</v>
      </c>
      <c r="AL10" s="135" t="s">
        <v>31</v>
      </c>
      <c r="AM10" s="73">
        <f>82570+70000</f>
        <v>152570</v>
      </c>
      <c r="AN10" s="96"/>
      <c r="AO10" s="96"/>
      <c r="AP10" s="73">
        <f>81931+69688</f>
        <v>151619</v>
      </c>
      <c r="AQ10" s="44"/>
      <c r="AR10" s="114"/>
      <c r="AS10" s="98"/>
      <c r="AT10" s="98"/>
      <c r="AU10" s="98"/>
      <c r="AV10" s="98"/>
      <c r="AW10" s="98"/>
      <c r="AX10" s="98"/>
      <c r="AY10" s="98"/>
      <c r="AZ10" s="115"/>
    </row>
    <row r="11" spans="1:52" s="19" customFormat="1" ht="12.6" customHeight="1" x14ac:dyDescent="0.2">
      <c r="A11" s="72" t="s">
        <v>152</v>
      </c>
      <c r="B11" s="72" t="s">
        <v>129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0"/>
      <c r="R11" s="40"/>
      <c r="S11" s="40"/>
      <c r="T11" s="73">
        <v>2000</v>
      </c>
      <c r="U11" s="41"/>
      <c r="V11" s="72" t="s">
        <v>95</v>
      </c>
      <c r="W11" s="42"/>
      <c r="X11" s="2">
        <v>53.9</v>
      </c>
      <c r="Y11" s="113"/>
      <c r="Z11" s="43"/>
      <c r="AA11" s="40"/>
      <c r="AB11" s="40"/>
      <c r="AC11" s="43"/>
      <c r="AD11" s="43"/>
      <c r="AE11" s="43"/>
      <c r="AF11" s="43"/>
      <c r="AG11" s="142">
        <v>44644</v>
      </c>
      <c r="AH11" s="142">
        <v>44644</v>
      </c>
      <c r="AI11" s="77">
        <v>44728</v>
      </c>
      <c r="AJ11" s="79">
        <v>44734</v>
      </c>
      <c r="AK11" s="79">
        <v>44734</v>
      </c>
      <c r="AL11" s="135" t="s">
        <v>31</v>
      </c>
      <c r="AM11" s="73">
        <v>2000</v>
      </c>
      <c r="AN11" s="96"/>
      <c r="AO11" s="96"/>
      <c r="AP11" s="73">
        <v>1950</v>
      </c>
      <c r="AQ11" s="44"/>
      <c r="AR11" s="114"/>
      <c r="AS11" s="98"/>
      <c r="AT11" s="98"/>
      <c r="AU11" s="98"/>
      <c r="AV11" s="98"/>
      <c r="AW11" s="98"/>
      <c r="AX11" s="98"/>
      <c r="AY11" s="98"/>
      <c r="AZ11" s="115"/>
    </row>
    <row r="12" spans="1:52" s="19" customFormat="1" ht="12.6" customHeight="1" x14ac:dyDescent="0.2">
      <c r="A12" s="72" t="s">
        <v>134</v>
      </c>
      <c r="B12" s="72" t="s">
        <v>110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/>
      <c r="S12" s="40"/>
      <c r="T12" s="73">
        <v>23700</v>
      </c>
      <c r="U12" s="41"/>
      <c r="V12" s="145" t="s">
        <v>82</v>
      </c>
      <c r="W12" s="42"/>
      <c r="X12" s="2">
        <v>53.9</v>
      </c>
      <c r="Y12" s="113"/>
      <c r="Z12" s="43"/>
      <c r="AA12" s="40"/>
      <c r="AB12" s="40"/>
      <c r="AC12" s="43"/>
      <c r="AD12" s="43"/>
      <c r="AE12" s="43"/>
      <c r="AF12" s="43"/>
      <c r="AG12" s="142">
        <v>44599</v>
      </c>
      <c r="AH12" s="142">
        <v>44599</v>
      </c>
      <c r="AI12" s="143">
        <v>44699</v>
      </c>
      <c r="AJ12" s="144">
        <v>44706</v>
      </c>
      <c r="AK12" s="144">
        <v>44706</v>
      </c>
      <c r="AL12" s="135" t="s">
        <v>31</v>
      </c>
      <c r="AM12" s="73">
        <v>23700</v>
      </c>
      <c r="AN12" s="96"/>
      <c r="AO12" s="96"/>
      <c r="AP12" s="73">
        <v>23520</v>
      </c>
      <c r="AQ12" s="44"/>
      <c r="AR12" s="114"/>
      <c r="AS12" s="98"/>
      <c r="AT12" s="98"/>
      <c r="AU12" s="98"/>
      <c r="AV12" s="98"/>
      <c r="AW12" s="98"/>
      <c r="AX12" s="98"/>
      <c r="AY12" s="98"/>
      <c r="AZ12" s="115"/>
    </row>
    <row r="13" spans="1:52" s="19" customFormat="1" ht="12.6" customHeight="1" x14ac:dyDescent="0.2">
      <c r="A13" s="72" t="s">
        <v>139</v>
      </c>
      <c r="B13" s="72" t="s">
        <v>114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0"/>
      <c r="R13" s="40"/>
      <c r="S13" s="40"/>
      <c r="T13" s="73">
        <v>40500</v>
      </c>
      <c r="U13" s="41"/>
      <c r="V13" s="145" t="s">
        <v>95</v>
      </c>
      <c r="W13" s="42"/>
      <c r="X13" s="2">
        <v>53.9</v>
      </c>
      <c r="Y13" s="113"/>
      <c r="Z13" s="43"/>
      <c r="AA13" s="40"/>
      <c r="AB13" s="40"/>
      <c r="AC13" s="43"/>
      <c r="AD13" s="43"/>
      <c r="AE13" s="43"/>
      <c r="AF13" s="43"/>
      <c r="AG13" s="142">
        <v>44603</v>
      </c>
      <c r="AH13" s="142">
        <v>44603</v>
      </c>
      <c r="AI13" s="143">
        <v>44687</v>
      </c>
      <c r="AJ13" s="144">
        <v>44694</v>
      </c>
      <c r="AK13" s="144">
        <v>44694</v>
      </c>
      <c r="AL13" s="135" t="s">
        <v>31</v>
      </c>
      <c r="AM13" s="73">
        <v>40500</v>
      </c>
      <c r="AN13" s="96"/>
      <c r="AO13" s="96"/>
      <c r="AP13" s="73">
        <v>40390</v>
      </c>
      <c r="AQ13" s="44"/>
      <c r="AR13" s="114"/>
      <c r="AS13" s="98"/>
      <c r="AT13" s="98"/>
      <c r="AU13" s="98"/>
      <c r="AV13" s="98"/>
      <c r="AW13" s="98"/>
      <c r="AX13" s="98"/>
      <c r="AY13" s="98"/>
      <c r="AZ13" s="115"/>
    </row>
    <row r="14" spans="1:52" s="19" customFormat="1" ht="12.6" customHeight="1" x14ac:dyDescent="0.2">
      <c r="A14" s="72" t="s">
        <v>146</v>
      </c>
      <c r="B14" s="72" t="s">
        <v>121</v>
      </c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0"/>
      <c r="R14" s="40"/>
      <c r="S14" s="40"/>
      <c r="T14" s="73">
        <v>127000</v>
      </c>
      <c r="U14" s="41"/>
      <c r="V14" s="145" t="s">
        <v>87</v>
      </c>
      <c r="W14" s="42"/>
      <c r="X14" s="2">
        <v>53.9</v>
      </c>
      <c r="Y14" s="113"/>
      <c r="Z14" s="43"/>
      <c r="AA14" s="40"/>
      <c r="AB14" s="40"/>
      <c r="AC14" s="43"/>
      <c r="AD14" s="43"/>
      <c r="AE14" s="43"/>
      <c r="AF14" s="43"/>
      <c r="AG14" s="142">
        <v>44627</v>
      </c>
      <c r="AH14" s="142">
        <v>44627</v>
      </c>
      <c r="AI14" s="77">
        <v>44686</v>
      </c>
      <c r="AJ14" s="79">
        <v>44693</v>
      </c>
      <c r="AK14" s="79">
        <v>44693</v>
      </c>
      <c r="AL14" s="135" t="s">
        <v>31</v>
      </c>
      <c r="AM14" s="73">
        <v>127000</v>
      </c>
      <c r="AN14" s="96"/>
      <c r="AO14" s="96"/>
      <c r="AP14" s="73">
        <v>125080</v>
      </c>
      <c r="AQ14" s="44"/>
      <c r="AR14" s="114"/>
      <c r="AS14" s="98"/>
      <c r="AT14" s="98"/>
      <c r="AU14" s="98"/>
      <c r="AV14" s="98"/>
      <c r="AW14" s="98"/>
      <c r="AX14" s="98"/>
      <c r="AY14" s="98"/>
      <c r="AZ14" s="115"/>
    </row>
    <row r="15" spans="1:52" s="19" customFormat="1" ht="12.6" customHeight="1" x14ac:dyDescent="0.2">
      <c r="A15" s="72" t="s">
        <v>138</v>
      </c>
      <c r="B15" s="72" t="s">
        <v>125</v>
      </c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0"/>
      <c r="R15" s="40"/>
      <c r="S15" s="40"/>
      <c r="T15" s="73">
        <f>70000+40775</f>
        <v>110775</v>
      </c>
      <c r="U15" s="41"/>
      <c r="V15" s="145" t="s">
        <v>88</v>
      </c>
      <c r="W15" s="42"/>
      <c r="X15" s="2">
        <v>53.9</v>
      </c>
      <c r="Y15" s="113"/>
      <c r="Z15" s="43"/>
      <c r="AA15" s="40"/>
      <c r="AB15" s="40"/>
      <c r="AC15" s="43"/>
      <c r="AD15" s="43"/>
      <c r="AE15" s="43"/>
      <c r="AF15" s="43"/>
      <c r="AG15" s="75">
        <v>44673</v>
      </c>
      <c r="AH15" s="75">
        <v>44673</v>
      </c>
      <c r="AI15" s="77">
        <v>44655</v>
      </c>
      <c r="AJ15" s="79">
        <v>44662</v>
      </c>
      <c r="AK15" s="79">
        <v>44662</v>
      </c>
      <c r="AL15" s="135" t="s">
        <v>31</v>
      </c>
      <c r="AM15" s="73">
        <f>70000+40775</f>
        <v>110775</v>
      </c>
      <c r="AN15" s="96"/>
      <c r="AO15" s="96"/>
      <c r="AP15" s="73">
        <f>69755+40327</f>
        <v>110082</v>
      </c>
      <c r="AQ15" s="44"/>
      <c r="AR15" s="114"/>
      <c r="AS15" s="98"/>
      <c r="AT15" s="98"/>
      <c r="AU15" s="98"/>
      <c r="AV15" s="98"/>
      <c r="AW15" s="98"/>
      <c r="AX15" s="98"/>
      <c r="AY15" s="98"/>
      <c r="AZ15" s="115"/>
    </row>
    <row r="16" spans="1:52" s="19" customFormat="1" ht="12.6" customHeight="1" x14ac:dyDescent="0.2">
      <c r="A16" s="72" t="s">
        <v>137</v>
      </c>
      <c r="B16" s="72" t="s">
        <v>112</v>
      </c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0"/>
      <c r="R16" s="40"/>
      <c r="S16" s="40"/>
      <c r="T16" s="73">
        <v>96800</v>
      </c>
      <c r="U16" s="41"/>
      <c r="V16" s="145" t="s">
        <v>95</v>
      </c>
      <c r="W16" s="42"/>
      <c r="X16" s="2">
        <v>53.9</v>
      </c>
      <c r="Y16" s="113"/>
      <c r="Z16" s="43"/>
      <c r="AA16" s="40"/>
      <c r="AB16" s="40"/>
      <c r="AC16" s="43"/>
      <c r="AD16" s="43"/>
      <c r="AE16" s="43"/>
      <c r="AF16" s="43"/>
      <c r="AG16" s="75">
        <v>44684</v>
      </c>
      <c r="AH16" s="75">
        <v>44684</v>
      </c>
      <c r="AI16" s="77">
        <v>44659</v>
      </c>
      <c r="AJ16" s="79">
        <v>44664</v>
      </c>
      <c r="AK16" s="79">
        <v>44664</v>
      </c>
      <c r="AL16" s="135" t="s">
        <v>31</v>
      </c>
      <c r="AM16" s="73">
        <v>96800</v>
      </c>
      <c r="AN16" s="96"/>
      <c r="AO16" s="96"/>
      <c r="AP16" s="73">
        <v>96672</v>
      </c>
      <c r="AQ16" s="44"/>
      <c r="AR16" s="114"/>
      <c r="AS16" s="98"/>
      <c r="AT16" s="98"/>
      <c r="AU16" s="98"/>
      <c r="AV16" s="98"/>
      <c r="AW16" s="98"/>
      <c r="AX16" s="98"/>
      <c r="AY16" s="98"/>
      <c r="AZ16" s="115"/>
    </row>
    <row r="17" spans="1:52" s="19" customFormat="1" ht="12.6" customHeight="1" x14ac:dyDescent="0.2">
      <c r="A17" s="72" t="s">
        <v>142</v>
      </c>
      <c r="B17" s="72" t="s">
        <v>116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0"/>
      <c r="R17" s="40"/>
      <c r="S17" s="40"/>
      <c r="T17" s="73">
        <f>12000+18000+50000</f>
        <v>80000</v>
      </c>
      <c r="U17" s="41"/>
      <c r="V17" s="145" t="s">
        <v>93</v>
      </c>
      <c r="W17" s="42"/>
      <c r="X17" s="2">
        <v>53.9</v>
      </c>
      <c r="Y17" s="113"/>
      <c r="Z17" s="43"/>
      <c r="AA17" s="40"/>
      <c r="AB17" s="40"/>
      <c r="AC17" s="43"/>
      <c r="AD17" s="43"/>
      <c r="AE17" s="43"/>
      <c r="AF17" s="43"/>
      <c r="AG17" s="75">
        <v>44671</v>
      </c>
      <c r="AH17" s="75">
        <v>44671</v>
      </c>
      <c r="AI17" s="77">
        <v>44659</v>
      </c>
      <c r="AJ17" s="79">
        <v>44664</v>
      </c>
      <c r="AK17" s="79">
        <v>44664</v>
      </c>
      <c r="AL17" s="135" t="s">
        <v>31</v>
      </c>
      <c r="AM17" s="73">
        <f>12000+18000+50000</f>
        <v>80000</v>
      </c>
      <c r="AN17" s="96"/>
      <c r="AO17" s="96"/>
      <c r="AP17" s="73">
        <v>79482</v>
      </c>
      <c r="AQ17" s="44"/>
      <c r="AR17" s="114"/>
      <c r="AS17" s="98"/>
      <c r="AT17" s="98"/>
      <c r="AU17" s="98"/>
      <c r="AV17" s="98"/>
      <c r="AW17" s="98"/>
      <c r="AX17" s="98"/>
      <c r="AY17" s="98"/>
      <c r="AZ17" s="115"/>
    </row>
    <row r="18" spans="1:52" s="19" customFormat="1" ht="12.6" customHeight="1" x14ac:dyDescent="0.2">
      <c r="A18" s="72" t="s">
        <v>143</v>
      </c>
      <c r="B18" s="72" t="s">
        <v>128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40"/>
      <c r="S18" s="40"/>
      <c r="T18" s="73">
        <v>256500</v>
      </c>
      <c r="U18" s="41"/>
      <c r="V18" s="145" t="s">
        <v>86</v>
      </c>
      <c r="W18" s="42"/>
      <c r="X18" s="2">
        <v>53.9</v>
      </c>
      <c r="Y18" s="113"/>
      <c r="Z18" s="43"/>
      <c r="AA18" s="40"/>
      <c r="AB18" s="40"/>
      <c r="AC18" s="43"/>
      <c r="AD18" s="43"/>
      <c r="AE18" s="43"/>
      <c r="AF18" s="43"/>
      <c r="AG18" s="142">
        <v>44620</v>
      </c>
      <c r="AH18" s="142">
        <v>44620</v>
      </c>
      <c r="AI18" s="77">
        <v>44659</v>
      </c>
      <c r="AJ18" s="79">
        <v>44664</v>
      </c>
      <c r="AK18" s="79">
        <v>44664</v>
      </c>
      <c r="AL18" s="135" t="s">
        <v>31</v>
      </c>
      <c r="AM18" s="73">
        <v>256500</v>
      </c>
      <c r="AN18" s="96"/>
      <c r="AO18" s="96"/>
      <c r="AP18" s="73">
        <v>249502</v>
      </c>
      <c r="AQ18" s="44"/>
      <c r="AR18" s="114"/>
      <c r="AS18" s="98"/>
      <c r="AT18" s="98"/>
      <c r="AU18" s="98"/>
      <c r="AV18" s="98"/>
      <c r="AW18" s="98"/>
      <c r="AX18" s="98"/>
      <c r="AY18" s="98"/>
      <c r="AZ18" s="115"/>
    </row>
    <row r="19" spans="1:52" s="19" customFormat="1" ht="12.6" customHeight="1" x14ac:dyDescent="0.2">
      <c r="A19" s="72" t="s">
        <v>140</v>
      </c>
      <c r="B19" s="72" t="s">
        <v>115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40"/>
      <c r="S19" s="40"/>
      <c r="T19" s="73">
        <v>65000</v>
      </c>
      <c r="U19" s="41"/>
      <c r="V19" s="145" t="s">
        <v>86</v>
      </c>
      <c r="W19" s="42"/>
      <c r="X19" s="2">
        <v>53.9</v>
      </c>
      <c r="Y19" s="113"/>
      <c r="Z19" s="43"/>
      <c r="AA19" s="40"/>
      <c r="AB19" s="40"/>
      <c r="AC19" s="43"/>
      <c r="AD19" s="43"/>
      <c r="AE19" s="43"/>
      <c r="AF19" s="43"/>
      <c r="AG19" s="75">
        <v>44671</v>
      </c>
      <c r="AH19" s="75">
        <v>44671</v>
      </c>
      <c r="AI19" s="77">
        <v>44659</v>
      </c>
      <c r="AJ19" s="79">
        <v>44664</v>
      </c>
      <c r="AK19" s="79">
        <v>44664</v>
      </c>
      <c r="AL19" s="135" t="s">
        <v>31</v>
      </c>
      <c r="AM19" s="73">
        <v>65000</v>
      </c>
      <c r="AN19" s="96"/>
      <c r="AO19" s="96"/>
      <c r="AP19" s="73">
        <f>9910+54758</f>
        <v>64668</v>
      </c>
      <c r="AQ19" s="44"/>
      <c r="AR19" s="114"/>
      <c r="AS19" s="98"/>
      <c r="AT19" s="98"/>
      <c r="AU19" s="98"/>
      <c r="AV19" s="98"/>
      <c r="AW19" s="98"/>
      <c r="AX19" s="98"/>
      <c r="AY19" s="98"/>
      <c r="AZ19" s="115"/>
    </row>
    <row r="20" spans="1:52" s="19" customFormat="1" ht="12.6" customHeight="1" x14ac:dyDescent="0.2">
      <c r="A20" s="72" t="s">
        <v>139</v>
      </c>
      <c r="B20" s="72" t="s">
        <v>114</v>
      </c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0"/>
      <c r="S20" s="40"/>
      <c r="T20" s="73">
        <v>20000</v>
      </c>
      <c r="U20" s="41"/>
      <c r="V20" s="145" t="s">
        <v>87</v>
      </c>
      <c r="W20" s="42"/>
      <c r="X20" s="2">
        <v>53.9</v>
      </c>
      <c r="Y20" s="113"/>
      <c r="Z20" s="43"/>
      <c r="AA20" s="40"/>
      <c r="AB20" s="40"/>
      <c r="AC20" s="43"/>
      <c r="AD20" s="43"/>
      <c r="AE20" s="43"/>
      <c r="AF20" s="43"/>
      <c r="AG20" s="76">
        <v>44664</v>
      </c>
      <c r="AH20" s="76">
        <v>44664</v>
      </c>
      <c r="AI20" s="77">
        <v>44670</v>
      </c>
      <c r="AJ20" s="79">
        <v>44676</v>
      </c>
      <c r="AK20" s="79">
        <v>44676</v>
      </c>
      <c r="AL20" s="135" t="s">
        <v>31</v>
      </c>
      <c r="AM20" s="73">
        <v>20000</v>
      </c>
      <c r="AN20" s="96"/>
      <c r="AO20" s="96"/>
      <c r="AP20" s="73">
        <v>19552</v>
      </c>
      <c r="AQ20" s="44"/>
      <c r="AR20" s="114"/>
      <c r="AS20" s="98"/>
      <c r="AT20" s="98"/>
      <c r="AU20" s="98"/>
      <c r="AV20" s="98"/>
      <c r="AW20" s="98"/>
      <c r="AX20" s="98"/>
      <c r="AY20" s="98"/>
      <c r="AZ20" s="115"/>
    </row>
    <row r="21" spans="1:52" s="19" customFormat="1" ht="12.6" customHeight="1" x14ac:dyDescent="0.2">
      <c r="A21" s="72" t="s">
        <v>138</v>
      </c>
      <c r="B21" s="72" t="s">
        <v>125</v>
      </c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/>
      <c r="R21" s="40"/>
      <c r="S21" s="40"/>
      <c r="T21" s="73">
        <v>70000</v>
      </c>
      <c r="U21" s="41"/>
      <c r="V21" s="145" t="s">
        <v>84</v>
      </c>
      <c r="W21" s="42"/>
      <c r="X21" s="2">
        <v>53.9</v>
      </c>
      <c r="Y21" s="113"/>
      <c r="Z21" s="43"/>
      <c r="AA21" s="40"/>
      <c r="AB21" s="40"/>
      <c r="AC21" s="43"/>
      <c r="AD21" s="43"/>
      <c r="AE21" s="43"/>
      <c r="AF21" s="43"/>
      <c r="AG21" s="75">
        <v>44679</v>
      </c>
      <c r="AH21" s="75">
        <v>44679</v>
      </c>
      <c r="AI21" s="77">
        <v>44670</v>
      </c>
      <c r="AJ21" s="79">
        <v>44676</v>
      </c>
      <c r="AK21" s="79">
        <v>44676</v>
      </c>
      <c r="AL21" s="135" t="s">
        <v>31</v>
      </c>
      <c r="AM21" s="73">
        <v>70000</v>
      </c>
      <c r="AN21" s="96"/>
      <c r="AO21" s="96"/>
      <c r="AP21" s="73">
        <v>69442</v>
      </c>
      <c r="AQ21" s="44"/>
      <c r="AR21" s="114"/>
      <c r="AS21" s="98"/>
      <c r="AT21" s="98"/>
      <c r="AU21" s="98"/>
      <c r="AV21" s="98"/>
      <c r="AW21" s="98"/>
      <c r="AX21" s="98"/>
      <c r="AY21" s="98"/>
      <c r="AZ21" s="115"/>
    </row>
    <row r="22" spans="1:52" s="19" customFormat="1" ht="12.6" customHeight="1" x14ac:dyDescent="0.2">
      <c r="A22" s="72" t="s">
        <v>153</v>
      </c>
      <c r="B22" s="72" t="s">
        <v>127</v>
      </c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0"/>
      <c r="R22" s="40"/>
      <c r="S22" s="40"/>
      <c r="T22" s="73">
        <v>50000</v>
      </c>
      <c r="U22" s="41"/>
      <c r="V22" s="145" t="s">
        <v>94</v>
      </c>
      <c r="W22" s="42"/>
      <c r="X22" s="2">
        <v>53.9</v>
      </c>
      <c r="Y22" s="113"/>
      <c r="Z22" s="43"/>
      <c r="AA22" s="40"/>
      <c r="AB22" s="40"/>
      <c r="AC22" s="43"/>
      <c r="AD22" s="43"/>
      <c r="AE22" s="43"/>
      <c r="AF22" s="43"/>
      <c r="AG22" s="142">
        <v>44601</v>
      </c>
      <c r="AH22" s="142">
        <v>44601</v>
      </c>
      <c r="AI22" s="77">
        <v>44664</v>
      </c>
      <c r="AJ22" s="79">
        <v>44671</v>
      </c>
      <c r="AK22" s="79">
        <v>44671</v>
      </c>
      <c r="AL22" s="135" t="s">
        <v>31</v>
      </c>
      <c r="AM22" s="73">
        <v>50000</v>
      </c>
      <c r="AN22" s="96"/>
      <c r="AO22" s="96"/>
      <c r="AP22" s="73">
        <v>49450</v>
      </c>
      <c r="AQ22" s="44"/>
      <c r="AR22" s="114"/>
      <c r="AS22" s="98"/>
      <c r="AT22" s="98"/>
      <c r="AU22" s="98"/>
      <c r="AV22" s="98"/>
      <c r="AW22" s="98"/>
      <c r="AX22" s="98"/>
      <c r="AY22" s="98"/>
      <c r="AZ22" s="115"/>
    </row>
    <row r="23" spans="1:52" s="19" customFormat="1" ht="12.6" customHeight="1" x14ac:dyDescent="0.2">
      <c r="A23" s="72" t="s">
        <v>139</v>
      </c>
      <c r="B23" s="72" t="s">
        <v>114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  <c r="R23" s="40"/>
      <c r="S23" s="40"/>
      <c r="T23" s="73">
        <v>12000</v>
      </c>
      <c r="U23" s="41"/>
      <c r="V23" s="145" t="s">
        <v>80</v>
      </c>
      <c r="W23" s="42"/>
      <c r="X23" s="2">
        <v>53.9</v>
      </c>
      <c r="Y23" s="113"/>
      <c r="Z23" s="43"/>
      <c r="AA23" s="40"/>
      <c r="AB23" s="40"/>
      <c r="AC23" s="43"/>
      <c r="AD23" s="43"/>
      <c r="AE23" s="43"/>
      <c r="AF23" s="43"/>
      <c r="AG23" s="75">
        <v>44698</v>
      </c>
      <c r="AH23" s="75">
        <v>44698</v>
      </c>
      <c r="AI23" s="77">
        <v>44705</v>
      </c>
      <c r="AJ23" s="79">
        <v>44712</v>
      </c>
      <c r="AK23" s="79">
        <v>44712</v>
      </c>
      <c r="AL23" s="135" t="s">
        <v>31</v>
      </c>
      <c r="AM23" s="73">
        <v>12000</v>
      </c>
      <c r="AN23" s="96"/>
      <c r="AO23" s="96"/>
      <c r="AP23" s="73">
        <v>11808</v>
      </c>
      <c r="AQ23" s="44"/>
      <c r="AR23" s="114"/>
      <c r="AS23" s="98"/>
      <c r="AT23" s="98"/>
      <c r="AU23" s="98"/>
      <c r="AV23" s="98"/>
      <c r="AW23" s="98"/>
      <c r="AX23" s="98"/>
      <c r="AY23" s="98"/>
      <c r="AZ23" s="115"/>
    </row>
    <row r="24" spans="1:52" s="19" customFormat="1" ht="12.6" customHeight="1" x14ac:dyDescent="0.2">
      <c r="A24" s="72" t="s">
        <v>143</v>
      </c>
      <c r="B24" s="72" t="s">
        <v>128</v>
      </c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0"/>
      <c r="R24" s="40"/>
      <c r="S24" s="40"/>
      <c r="T24" s="73">
        <v>246835</v>
      </c>
      <c r="U24" s="41"/>
      <c r="V24" s="145" t="s">
        <v>95</v>
      </c>
      <c r="W24" s="42"/>
      <c r="X24" s="2">
        <v>53.9</v>
      </c>
      <c r="Y24" s="113"/>
      <c r="Z24" s="43"/>
      <c r="AA24" s="40"/>
      <c r="AB24" s="40"/>
      <c r="AC24" s="43"/>
      <c r="AD24" s="43"/>
      <c r="AE24" s="43"/>
      <c r="AF24" s="43"/>
      <c r="AG24" s="142">
        <v>44613</v>
      </c>
      <c r="AH24" s="142">
        <v>44613</v>
      </c>
      <c r="AI24" s="77">
        <v>44706</v>
      </c>
      <c r="AJ24" s="79">
        <v>44713</v>
      </c>
      <c r="AK24" s="79">
        <v>44713</v>
      </c>
      <c r="AL24" s="135" t="s">
        <v>31</v>
      </c>
      <c r="AM24" s="73">
        <v>246835</v>
      </c>
      <c r="AN24" s="96"/>
      <c r="AO24" s="96"/>
      <c r="AP24" s="73">
        <v>246730</v>
      </c>
      <c r="AQ24" s="44"/>
      <c r="AR24" s="114"/>
      <c r="AS24" s="98"/>
      <c r="AT24" s="98"/>
      <c r="AU24" s="98"/>
      <c r="AV24" s="98"/>
      <c r="AW24" s="98"/>
      <c r="AX24" s="98"/>
      <c r="AY24" s="98"/>
      <c r="AZ24" s="115"/>
    </row>
    <row r="25" spans="1:52" s="19" customFormat="1" ht="12.6" customHeight="1" x14ac:dyDescent="0.2">
      <c r="A25" s="72" t="s">
        <v>152</v>
      </c>
      <c r="B25" s="72" t="s">
        <v>129</v>
      </c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40"/>
      <c r="S25" s="40"/>
      <c r="T25" s="73">
        <v>70000</v>
      </c>
      <c r="U25" s="41"/>
      <c r="V25" s="145" t="s">
        <v>100</v>
      </c>
      <c r="W25" s="42"/>
      <c r="X25" s="2">
        <v>53.9</v>
      </c>
      <c r="Y25" s="113"/>
      <c r="Z25" s="43"/>
      <c r="AA25" s="40"/>
      <c r="AB25" s="40"/>
      <c r="AC25" s="43"/>
      <c r="AD25" s="43"/>
      <c r="AE25" s="43"/>
      <c r="AF25" s="43"/>
      <c r="AG25" s="142">
        <v>44613</v>
      </c>
      <c r="AH25" s="142">
        <v>44613</v>
      </c>
      <c r="AI25" s="77">
        <v>44670</v>
      </c>
      <c r="AJ25" s="79">
        <v>44678</v>
      </c>
      <c r="AK25" s="79">
        <v>44678</v>
      </c>
      <c r="AL25" s="135" t="s">
        <v>31</v>
      </c>
      <c r="AM25" s="73">
        <v>70000</v>
      </c>
      <c r="AN25" s="96"/>
      <c r="AO25" s="96"/>
      <c r="AP25" s="73">
        <v>69964</v>
      </c>
      <c r="AQ25" s="44"/>
      <c r="AR25" s="114"/>
      <c r="AS25" s="98"/>
      <c r="AT25" s="98"/>
      <c r="AU25" s="98"/>
      <c r="AV25" s="98"/>
      <c r="AW25" s="98"/>
      <c r="AX25" s="98"/>
      <c r="AY25" s="98"/>
      <c r="AZ25" s="115"/>
    </row>
    <row r="26" spans="1:52" s="19" customFormat="1" ht="12.6" customHeight="1" x14ac:dyDescent="0.2">
      <c r="A26" s="72" t="s">
        <v>139</v>
      </c>
      <c r="B26" s="72" t="s">
        <v>114</v>
      </c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40"/>
      <c r="S26" s="40"/>
      <c r="T26" s="73">
        <v>33820</v>
      </c>
      <c r="U26" s="41"/>
      <c r="V26" s="145" t="s">
        <v>83</v>
      </c>
      <c r="W26" s="42"/>
      <c r="X26" s="2">
        <v>53.9</v>
      </c>
      <c r="Y26" s="113"/>
      <c r="Z26" s="43"/>
      <c r="AA26" s="40"/>
      <c r="AB26" s="40"/>
      <c r="AC26" s="43"/>
      <c r="AD26" s="43"/>
      <c r="AE26" s="43"/>
      <c r="AF26" s="43"/>
      <c r="AG26" s="76">
        <v>44687</v>
      </c>
      <c r="AH26" s="76">
        <v>44687</v>
      </c>
      <c r="AI26" s="77">
        <v>44707</v>
      </c>
      <c r="AJ26" s="79">
        <v>44714</v>
      </c>
      <c r="AK26" s="79">
        <v>44714</v>
      </c>
      <c r="AL26" s="135" t="s">
        <v>31</v>
      </c>
      <c r="AM26" s="73">
        <v>33820</v>
      </c>
      <c r="AN26" s="96"/>
      <c r="AO26" s="96"/>
      <c r="AP26" s="73">
        <v>33152</v>
      </c>
      <c r="AQ26" s="44"/>
      <c r="AR26" s="114"/>
      <c r="AS26" s="98"/>
      <c r="AT26" s="98"/>
      <c r="AU26" s="98"/>
      <c r="AV26" s="98"/>
      <c r="AW26" s="98"/>
      <c r="AX26" s="98"/>
      <c r="AY26" s="98"/>
      <c r="AZ26" s="115"/>
    </row>
    <row r="27" spans="1:52" s="19" customFormat="1" ht="12.6" customHeight="1" x14ac:dyDescent="0.2">
      <c r="A27" s="72" t="s">
        <v>145</v>
      </c>
      <c r="B27" s="72" t="s">
        <v>118</v>
      </c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0"/>
      <c r="R27" s="40"/>
      <c r="S27" s="40"/>
      <c r="T27" s="73">
        <v>55000</v>
      </c>
      <c r="U27" s="41"/>
      <c r="V27" s="145" t="s">
        <v>87</v>
      </c>
      <c r="W27" s="42"/>
      <c r="X27" s="2">
        <v>53.9</v>
      </c>
      <c r="Y27" s="113"/>
      <c r="Z27" s="43"/>
      <c r="AA27" s="40"/>
      <c r="AB27" s="40"/>
      <c r="AC27" s="43"/>
      <c r="AD27" s="43"/>
      <c r="AE27" s="43"/>
      <c r="AF27" s="43"/>
      <c r="AG27" s="142">
        <v>44627</v>
      </c>
      <c r="AH27" s="142">
        <v>44627</v>
      </c>
      <c r="AI27" s="77">
        <v>44698</v>
      </c>
      <c r="AJ27" s="79">
        <v>44704</v>
      </c>
      <c r="AK27" s="79">
        <v>44704</v>
      </c>
      <c r="AL27" s="135" t="s">
        <v>31</v>
      </c>
      <c r="AM27" s="73">
        <v>55000</v>
      </c>
      <c r="AN27" s="96"/>
      <c r="AO27" s="96"/>
      <c r="AP27" s="73">
        <v>53800</v>
      </c>
      <c r="AQ27" s="44"/>
      <c r="AR27" s="114"/>
      <c r="AS27" s="98"/>
      <c r="AT27" s="98"/>
      <c r="AU27" s="98"/>
      <c r="AV27" s="98"/>
      <c r="AW27" s="98"/>
      <c r="AX27" s="98"/>
      <c r="AY27" s="98"/>
      <c r="AZ27" s="115"/>
    </row>
    <row r="28" spans="1:52" s="19" customFormat="1" ht="12.6" customHeight="1" x14ac:dyDescent="0.2">
      <c r="A28" s="72" t="s">
        <v>142</v>
      </c>
      <c r="B28" s="72" t="s">
        <v>116</v>
      </c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0"/>
      <c r="R28" s="40"/>
      <c r="S28" s="40"/>
      <c r="T28" s="73">
        <f>22500+18000</f>
        <v>40500</v>
      </c>
      <c r="U28" s="41"/>
      <c r="V28" s="145" t="s">
        <v>80</v>
      </c>
      <c r="W28" s="42"/>
      <c r="X28" s="2">
        <v>53.9</v>
      </c>
      <c r="Y28" s="113"/>
      <c r="Z28" s="43"/>
      <c r="AA28" s="40"/>
      <c r="AB28" s="40"/>
      <c r="AC28" s="43"/>
      <c r="AD28" s="43"/>
      <c r="AE28" s="43"/>
      <c r="AF28" s="43"/>
      <c r="AG28" s="75">
        <v>44698</v>
      </c>
      <c r="AH28" s="75">
        <v>44698</v>
      </c>
      <c r="AI28" s="77">
        <v>44721</v>
      </c>
      <c r="AJ28" s="79">
        <v>44727</v>
      </c>
      <c r="AK28" s="79">
        <v>44727</v>
      </c>
      <c r="AL28" s="135" t="s">
        <v>31</v>
      </c>
      <c r="AM28" s="73">
        <f>22500+18000</f>
        <v>40500</v>
      </c>
      <c r="AN28" s="96"/>
      <c r="AO28" s="96"/>
      <c r="AP28" s="73">
        <f>22410+8964+8964</f>
        <v>40338</v>
      </c>
      <c r="AQ28" s="44"/>
      <c r="AR28" s="114"/>
      <c r="AS28" s="98"/>
      <c r="AT28" s="98"/>
      <c r="AU28" s="98"/>
      <c r="AV28" s="98"/>
      <c r="AW28" s="98"/>
      <c r="AX28" s="98"/>
      <c r="AY28" s="98"/>
      <c r="AZ28" s="115"/>
    </row>
    <row r="29" spans="1:52" s="19" customFormat="1" ht="12.6" customHeight="1" x14ac:dyDescent="0.2">
      <c r="A29" s="72" t="s">
        <v>143</v>
      </c>
      <c r="B29" s="72" t="s">
        <v>128</v>
      </c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0"/>
      <c r="R29" s="40"/>
      <c r="S29" s="40"/>
      <c r="T29" s="73">
        <v>16500</v>
      </c>
      <c r="U29" s="41"/>
      <c r="V29" s="145" t="s">
        <v>80</v>
      </c>
      <c r="W29" s="42"/>
      <c r="X29" s="2">
        <v>53.9</v>
      </c>
      <c r="Y29" s="113"/>
      <c r="Z29" s="43"/>
      <c r="AA29" s="40"/>
      <c r="AB29" s="40"/>
      <c r="AC29" s="43"/>
      <c r="AD29" s="43"/>
      <c r="AE29" s="43"/>
      <c r="AF29" s="43"/>
      <c r="AG29" s="75">
        <v>44698</v>
      </c>
      <c r="AH29" s="75">
        <v>44698</v>
      </c>
      <c r="AI29" s="77">
        <v>44655</v>
      </c>
      <c r="AJ29" s="79">
        <v>44662</v>
      </c>
      <c r="AK29" s="79">
        <v>44662</v>
      </c>
      <c r="AL29" s="135" t="s">
        <v>31</v>
      </c>
      <c r="AM29" s="73">
        <v>16500</v>
      </c>
      <c r="AN29" s="96"/>
      <c r="AO29" s="96"/>
      <c r="AP29" s="73">
        <v>16296</v>
      </c>
      <c r="AQ29" s="44"/>
      <c r="AR29" s="114"/>
      <c r="AS29" s="98"/>
      <c r="AT29" s="98"/>
      <c r="AU29" s="98"/>
      <c r="AV29" s="98"/>
      <c r="AW29" s="98"/>
      <c r="AX29" s="98"/>
      <c r="AY29" s="98"/>
      <c r="AZ29" s="115"/>
    </row>
    <row r="30" spans="1:52" s="19" customFormat="1" ht="12.6" customHeight="1" x14ac:dyDescent="0.2">
      <c r="A30" s="72" t="s">
        <v>142</v>
      </c>
      <c r="B30" s="72" t="s">
        <v>116</v>
      </c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0"/>
      <c r="R30" s="40"/>
      <c r="S30" s="40"/>
      <c r="T30" s="73">
        <f>9100+6600</f>
        <v>15700</v>
      </c>
      <c r="U30" s="41"/>
      <c r="V30" s="145" t="s">
        <v>87</v>
      </c>
      <c r="W30" s="42"/>
      <c r="X30" s="2">
        <v>53.9</v>
      </c>
      <c r="Y30" s="113"/>
      <c r="Z30" s="43"/>
      <c r="AA30" s="40"/>
      <c r="AB30" s="40"/>
      <c r="AC30" s="43"/>
      <c r="AD30" s="43"/>
      <c r="AE30" s="43"/>
      <c r="AF30" s="43"/>
      <c r="AG30" s="142">
        <v>44627</v>
      </c>
      <c r="AH30" s="142">
        <v>44627</v>
      </c>
      <c r="AI30" s="77">
        <v>44705</v>
      </c>
      <c r="AJ30" s="79">
        <v>44712</v>
      </c>
      <c r="AK30" s="79">
        <v>44712</v>
      </c>
      <c r="AL30" s="135" t="s">
        <v>31</v>
      </c>
      <c r="AM30" s="73">
        <f>9100+6600</f>
        <v>15700</v>
      </c>
      <c r="AN30" s="96"/>
      <c r="AO30" s="96"/>
      <c r="AP30" s="73">
        <f>8998+6400</f>
        <v>15398</v>
      </c>
      <c r="AQ30" s="44"/>
      <c r="AR30" s="114"/>
      <c r="AS30" s="98"/>
      <c r="AT30" s="98"/>
      <c r="AU30" s="98"/>
      <c r="AV30" s="98"/>
      <c r="AW30" s="98"/>
      <c r="AX30" s="98"/>
      <c r="AY30" s="98"/>
      <c r="AZ30" s="115"/>
    </row>
    <row r="31" spans="1:52" s="19" customFormat="1" ht="12.6" customHeight="1" x14ac:dyDescent="0.2">
      <c r="A31" s="72" t="s">
        <v>139</v>
      </c>
      <c r="B31" s="72" t="s">
        <v>114</v>
      </c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40"/>
      <c r="S31" s="40"/>
      <c r="T31" s="73">
        <v>60500</v>
      </c>
      <c r="U31" s="41"/>
      <c r="V31" s="145" t="s">
        <v>95</v>
      </c>
      <c r="W31" s="42"/>
      <c r="X31" s="2">
        <v>53.9</v>
      </c>
      <c r="Y31" s="113"/>
      <c r="Z31" s="43"/>
      <c r="AA31" s="40"/>
      <c r="AB31" s="40"/>
      <c r="AC31" s="43"/>
      <c r="AD31" s="43"/>
      <c r="AE31" s="43"/>
      <c r="AF31" s="43"/>
      <c r="AG31" s="76">
        <v>44662</v>
      </c>
      <c r="AH31" s="76">
        <v>44662</v>
      </c>
      <c r="AI31" s="77">
        <v>44705</v>
      </c>
      <c r="AJ31" s="79">
        <v>44712</v>
      </c>
      <c r="AK31" s="79">
        <v>44712</v>
      </c>
      <c r="AL31" s="135" t="s">
        <v>31</v>
      </c>
      <c r="AM31" s="73">
        <v>60500</v>
      </c>
      <c r="AN31" s="96"/>
      <c r="AO31" s="96"/>
      <c r="AP31" s="73">
        <v>60290</v>
      </c>
      <c r="AQ31" s="44"/>
      <c r="AR31" s="114"/>
      <c r="AS31" s="98"/>
      <c r="AT31" s="98"/>
      <c r="AU31" s="98"/>
      <c r="AV31" s="98"/>
      <c r="AW31" s="98"/>
      <c r="AX31" s="98"/>
      <c r="AY31" s="98"/>
      <c r="AZ31" s="115"/>
    </row>
    <row r="32" spans="1:52" s="19" customFormat="1" ht="12.6" customHeight="1" x14ac:dyDescent="0.2">
      <c r="A32" s="72" t="s">
        <v>149</v>
      </c>
      <c r="B32" s="72" t="s">
        <v>132</v>
      </c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0"/>
      <c r="R32" s="40"/>
      <c r="S32" s="40"/>
      <c r="T32" s="73">
        <v>10000</v>
      </c>
      <c r="U32" s="41"/>
      <c r="V32" s="145" t="s">
        <v>80</v>
      </c>
      <c r="W32" s="42"/>
      <c r="X32" s="2">
        <v>53.9</v>
      </c>
      <c r="Y32" s="113"/>
      <c r="Z32" s="43"/>
      <c r="AA32" s="40"/>
      <c r="AB32" s="40"/>
      <c r="AC32" s="43"/>
      <c r="AD32" s="43"/>
      <c r="AE32" s="43"/>
      <c r="AF32" s="43"/>
      <c r="AG32" s="75">
        <v>44698</v>
      </c>
      <c r="AH32" s="75">
        <v>44698</v>
      </c>
      <c r="AI32" s="77">
        <v>44720</v>
      </c>
      <c r="AJ32" s="79">
        <v>44727</v>
      </c>
      <c r="AK32" s="79">
        <v>44727</v>
      </c>
      <c r="AL32" s="135" t="s">
        <v>31</v>
      </c>
      <c r="AM32" s="73">
        <v>10000</v>
      </c>
      <c r="AN32" s="96"/>
      <c r="AO32" s="96"/>
      <c r="AP32" s="73">
        <v>9650</v>
      </c>
      <c r="AQ32" s="44"/>
      <c r="AR32" s="114"/>
      <c r="AS32" s="98"/>
      <c r="AT32" s="98"/>
      <c r="AU32" s="98"/>
      <c r="AV32" s="98"/>
      <c r="AW32" s="98"/>
      <c r="AX32" s="98"/>
      <c r="AY32" s="98"/>
      <c r="AZ32" s="115"/>
    </row>
    <row r="33" spans="1:52" s="19" customFormat="1" ht="12.6" customHeight="1" x14ac:dyDescent="0.2">
      <c r="A33" s="72" t="s">
        <v>146</v>
      </c>
      <c r="B33" s="72" t="s">
        <v>121</v>
      </c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0"/>
      <c r="T33" s="73">
        <v>50000</v>
      </c>
      <c r="U33" s="41"/>
      <c r="V33" s="145" t="s">
        <v>91</v>
      </c>
      <c r="W33" s="42"/>
      <c r="X33" s="2">
        <v>53.9</v>
      </c>
      <c r="Y33" s="113"/>
      <c r="Z33" s="43"/>
      <c r="AA33" s="40"/>
      <c r="AB33" s="40"/>
      <c r="AC33" s="43"/>
      <c r="AD33" s="43"/>
      <c r="AE33" s="43"/>
      <c r="AF33" s="43"/>
      <c r="AG33" s="76">
        <v>44656</v>
      </c>
      <c r="AH33" s="76">
        <v>44656</v>
      </c>
      <c r="AI33" s="77">
        <v>44656</v>
      </c>
      <c r="AJ33" s="79">
        <v>44662</v>
      </c>
      <c r="AK33" s="79">
        <v>44662</v>
      </c>
      <c r="AL33" s="135" t="s">
        <v>31</v>
      </c>
      <c r="AM33" s="73">
        <v>50000</v>
      </c>
      <c r="AN33" s="96"/>
      <c r="AO33" s="96"/>
      <c r="AP33" s="73">
        <v>49490</v>
      </c>
      <c r="AQ33" s="44"/>
      <c r="AR33" s="114"/>
      <c r="AS33" s="98"/>
      <c r="AT33" s="98"/>
      <c r="AU33" s="98"/>
      <c r="AV33" s="98"/>
      <c r="AW33" s="98"/>
      <c r="AX33" s="98"/>
      <c r="AY33" s="98"/>
      <c r="AZ33" s="115"/>
    </row>
    <row r="34" spans="1:52" s="19" customFormat="1" ht="12.6" customHeight="1" x14ac:dyDescent="0.2">
      <c r="A34" s="72" t="s">
        <v>147</v>
      </c>
      <c r="B34" s="72" t="s">
        <v>119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0"/>
      <c r="R34" s="40"/>
      <c r="S34" s="40"/>
      <c r="T34" s="73">
        <v>35000</v>
      </c>
      <c r="U34" s="41"/>
      <c r="V34" s="145" t="s">
        <v>87</v>
      </c>
      <c r="W34" s="42"/>
      <c r="X34" s="2">
        <v>53.9</v>
      </c>
      <c r="Y34" s="113"/>
      <c r="Z34" s="43"/>
      <c r="AA34" s="40"/>
      <c r="AB34" s="40"/>
      <c r="AC34" s="43"/>
      <c r="AD34" s="43"/>
      <c r="AE34" s="43"/>
      <c r="AF34" s="43"/>
      <c r="AG34" s="142">
        <v>44623</v>
      </c>
      <c r="AH34" s="142">
        <v>44623</v>
      </c>
      <c r="AI34" s="77">
        <v>44720</v>
      </c>
      <c r="AJ34" s="79">
        <v>44726</v>
      </c>
      <c r="AK34" s="79">
        <v>44726</v>
      </c>
      <c r="AL34" s="135" t="s">
        <v>31</v>
      </c>
      <c r="AM34" s="73">
        <v>35000</v>
      </c>
      <c r="AN34" s="96"/>
      <c r="AO34" s="96"/>
      <c r="AP34" s="73">
        <v>34100</v>
      </c>
      <c r="AQ34" s="44"/>
      <c r="AR34" s="114"/>
      <c r="AS34" s="98"/>
      <c r="AT34" s="98"/>
      <c r="AU34" s="98"/>
      <c r="AV34" s="98"/>
      <c r="AW34" s="98"/>
      <c r="AX34" s="98"/>
      <c r="AY34" s="98"/>
      <c r="AZ34" s="115"/>
    </row>
    <row r="35" spans="1:52" s="19" customFormat="1" ht="12.6" customHeight="1" x14ac:dyDescent="0.2">
      <c r="A35" s="72" t="s">
        <v>141</v>
      </c>
      <c r="B35" s="72" t="s">
        <v>130</v>
      </c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0"/>
      <c r="R35" s="40"/>
      <c r="S35" s="40"/>
      <c r="T35" s="73">
        <v>80000</v>
      </c>
      <c r="U35" s="41"/>
      <c r="V35" s="145" t="s">
        <v>91</v>
      </c>
      <c r="W35" s="42"/>
      <c r="X35" s="2">
        <v>53.9</v>
      </c>
      <c r="Y35" s="113"/>
      <c r="Z35" s="43"/>
      <c r="AA35" s="40"/>
      <c r="AB35" s="40"/>
      <c r="AC35" s="43"/>
      <c r="AD35" s="43"/>
      <c r="AE35" s="43"/>
      <c r="AF35" s="43"/>
      <c r="AG35" s="75">
        <v>44691</v>
      </c>
      <c r="AH35" s="75">
        <v>44691</v>
      </c>
      <c r="AI35" s="77">
        <v>44734</v>
      </c>
      <c r="AJ35" s="79">
        <v>44740</v>
      </c>
      <c r="AK35" s="79">
        <v>44740</v>
      </c>
      <c r="AL35" s="135" t="s">
        <v>31</v>
      </c>
      <c r="AM35" s="73">
        <v>80000</v>
      </c>
      <c r="AN35" s="96"/>
      <c r="AO35" s="96"/>
      <c r="AP35" s="73">
        <v>79490</v>
      </c>
      <c r="AQ35" s="44"/>
      <c r="AR35" s="114"/>
      <c r="AS35" s="98"/>
      <c r="AT35" s="98"/>
      <c r="AU35" s="98"/>
      <c r="AV35" s="98"/>
      <c r="AW35" s="98"/>
      <c r="AX35" s="98"/>
      <c r="AY35" s="98"/>
      <c r="AZ35" s="115"/>
    </row>
    <row r="36" spans="1:52" s="19" customFormat="1" ht="12.6" customHeight="1" x14ac:dyDescent="0.2">
      <c r="A36" s="72" t="s">
        <v>143</v>
      </c>
      <c r="B36" s="72" t="s">
        <v>128</v>
      </c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0"/>
      <c r="S36" s="40"/>
      <c r="T36" s="73">
        <v>30000</v>
      </c>
      <c r="U36" s="41"/>
      <c r="V36" s="145" t="s">
        <v>87</v>
      </c>
      <c r="W36" s="42"/>
      <c r="X36" s="2">
        <v>53.9</v>
      </c>
      <c r="Y36" s="113"/>
      <c r="Z36" s="43"/>
      <c r="AA36" s="40"/>
      <c r="AB36" s="40"/>
      <c r="AC36" s="43"/>
      <c r="AD36" s="43"/>
      <c r="AE36" s="43"/>
      <c r="AF36" s="43"/>
      <c r="AG36" s="76">
        <v>44656</v>
      </c>
      <c r="AH36" s="76">
        <v>44656</v>
      </c>
      <c r="AI36" s="77">
        <v>44670</v>
      </c>
      <c r="AJ36" s="79">
        <v>44677</v>
      </c>
      <c r="AK36" s="79">
        <v>44677</v>
      </c>
      <c r="AL36" s="135" t="s">
        <v>31</v>
      </c>
      <c r="AM36" s="73">
        <v>30000</v>
      </c>
      <c r="AN36" s="96"/>
      <c r="AO36" s="96"/>
      <c r="AP36" s="73">
        <v>29586</v>
      </c>
      <c r="AQ36" s="44"/>
      <c r="AR36" s="114"/>
      <c r="AS36" s="98"/>
      <c r="AT36" s="98"/>
      <c r="AU36" s="98"/>
      <c r="AV36" s="98"/>
      <c r="AW36" s="98"/>
      <c r="AX36" s="98"/>
      <c r="AY36" s="98"/>
      <c r="AZ36" s="115"/>
    </row>
    <row r="37" spans="1:52" s="19" customFormat="1" ht="12.6" customHeight="1" x14ac:dyDescent="0.2">
      <c r="A37" s="72" t="s">
        <v>152</v>
      </c>
      <c r="B37" s="72" t="s">
        <v>129</v>
      </c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0"/>
      <c r="R37" s="40"/>
      <c r="S37" s="40"/>
      <c r="T37" s="73">
        <v>11700</v>
      </c>
      <c r="U37" s="41"/>
      <c r="V37" s="145" t="s">
        <v>83</v>
      </c>
      <c r="W37" s="42"/>
      <c r="X37" s="2">
        <v>53.9</v>
      </c>
      <c r="Y37" s="113"/>
      <c r="Z37" s="43"/>
      <c r="AA37" s="40"/>
      <c r="AB37" s="40"/>
      <c r="AC37" s="43"/>
      <c r="AD37" s="43"/>
      <c r="AE37" s="43"/>
      <c r="AF37" s="43"/>
      <c r="AG37" s="75">
        <v>44687</v>
      </c>
      <c r="AH37" s="75">
        <v>44687</v>
      </c>
      <c r="AI37" s="77">
        <v>44708</v>
      </c>
      <c r="AJ37" s="79">
        <v>44715</v>
      </c>
      <c r="AK37" s="79">
        <v>44715</v>
      </c>
      <c r="AL37" s="135" t="s">
        <v>31</v>
      </c>
      <c r="AM37" s="73">
        <v>11700</v>
      </c>
      <c r="AN37" s="96"/>
      <c r="AO37" s="96"/>
      <c r="AP37" s="73">
        <v>11685</v>
      </c>
      <c r="AQ37" s="44"/>
      <c r="AR37" s="114"/>
      <c r="AS37" s="98"/>
      <c r="AT37" s="98"/>
      <c r="AU37" s="98"/>
      <c r="AV37" s="98"/>
      <c r="AW37" s="98"/>
      <c r="AX37" s="98"/>
      <c r="AY37" s="98"/>
      <c r="AZ37" s="115"/>
    </row>
    <row r="38" spans="1:52" s="19" customFormat="1" ht="12.6" customHeight="1" x14ac:dyDescent="0.2">
      <c r="A38" s="72" t="s">
        <v>143</v>
      </c>
      <c r="B38" s="72" t="s">
        <v>128</v>
      </c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0"/>
      <c r="R38" s="40"/>
      <c r="S38" s="40"/>
      <c r="T38" s="73">
        <f>16000+70000+35000</f>
        <v>121000</v>
      </c>
      <c r="U38" s="41"/>
      <c r="V38" s="145" t="s">
        <v>79</v>
      </c>
      <c r="W38" s="42"/>
      <c r="X38" s="2">
        <v>53.9</v>
      </c>
      <c r="Y38" s="113"/>
      <c r="Z38" s="43"/>
      <c r="AA38" s="40"/>
      <c r="AB38" s="40"/>
      <c r="AC38" s="43"/>
      <c r="AD38" s="43"/>
      <c r="AE38" s="43"/>
      <c r="AF38" s="43"/>
      <c r="AG38" s="75">
        <v>44701</v>
      </c>
      <c r="AH38" s="75">
        <v>44701</v>
      </c>
      <c r="AI38" s="77">
        <v>44725</v>
      </c>
      <c r="AJ38" s="79">
        <v>44732</v>
      </c>
      <c r="AK38" s="79">
        <v>44732</v>
      </c>
      <c r="AL38" s="135" t="s">
        <v>31</v>
      </c>
      <c r="AM38" s="73">
        <f>16000+70000+35000</f>
        <v>121000</v>
      </c>
      <c r="AN38" s="96"/>
      <c r="AO38" s="96"/>
      <c r="AP38" s="73">
        <f>15906+69845+34775</f>
        <v>120526</v>
      </c>
      <c r="AQ38" s="44"/>
      <c r="AR38" s="114"/>
      <c r="AS38" s="98"/>
      <c r="AT38" s="98"/>
      <c r="AU38" s="98"/>
      <c r="AV38" s="98"/>
      <c r="AW38" s="98"/>
      <c r="AX38" s="98"/>
      <c r="AY38" s="98"/>
      <c r="AZ38" s="115"/>
    </row>
    <row r="39" spans="1:52" s="19" customFormat="1" ht="12.6" customHeight="1" x14ac:dyDescent="0.2">
      <c r="A39" s="72" t="s">
        <v>136</v>
      </c>
      <c r="B39" s="72" t="s">
        <v>111</v>
      </c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0"/>
      <c r="R39" s="40"/>
      <c r="S39" s="40"/>
      <c r="T39" s="73">
        <f>37500+100000</f>
        <v>137500</v>
      </c>
      <c r="U39" s="41"/>
      <c r="V39" s="145" t="s">
        <v>93</v>
      </c>
      <c r="W39" s="42"/>
      <c r="X39" s="2">
        <v>53.9</v>
      </c>
      <c r="Y39" s="113"/>
      <c r="Z39" s="43"/>
      <c r="AA39" s="40"/>
      <c r="AB39" s="40"/>
      <c r="AC39" s="43"/>
      <c r="AD39" s="43"/>
      <c r="AE39" s="43"/>
      <c r="AF39" s="43"/>
      <c r="AG39" s="142">
        <v>44613</v>
      </c>
      <c r="AH39" s="142">
        <v>44613</v>
      </c>
      <c r="AI39" s="77">
        <v>44708</v>
      </c>
      <c r="AJ39" s="79">
        <v>44715</v>
      </c>
      <c r="AK39" s="79">
        <v>44715</v>
      </c>
      <c r="AL39" s="135" t="s">
        <v>31</v>
      </c>
      <c r="AM39" s="73">
        <f>37500+100000</f>
        <v>137500</v>
      </c>
      <c r="AN39" s="96"/>
      <c r="AO39" s="96"/>
      <c r="AP39" s="73">
        <v>136909</v>
      </c>
      <c r="AQ39" s="44"/>
      <c r="AR39" s="114"/>
      <c r="AS39" s="98"/>
      <c r="AT39" s="98"/>
      <c r="AU39" s="98"/>
      <c r="AV39" s="98"/>
      <c r="AW39" s="98"/>
      <c r="AX39" s="98"/>
      <c r="AY39" s="98"/>
      <c r="AZ39" s="115"/>
    </row>
    <row r="40" spans="1:52" s="19" customFormat="1" ht="12.6" customHeight="1" x14ac:dyDescent="0.2">
      <c r="A40" s="72" t="s">
        <v>138</v>
      </c>
      <c r="B40" s="72" t="s">
        <v>125</v>
      </c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0"/>
      <c r="R40" s="40"/>
      <c r="S40" s="40"/>
      <c r="T40" s="73">
        <f>82500+40000+121500+70000</f>
        <v>314000</v>
      </c>
      <c r="U40" s="41"/>
      <c r="V40" s="145" t="s">
        <v>98</v>
      </c>
      <c r="W40" s="42"/>
      <c r="X40" s="2">
        <v>53.9</v>
      </c>
      <c r="Y40" s="113"/>
      <c r="Z40" s="43"/>
      <c r="AA40" s="40"/>
      <c r="AB40" s="40"/>
      <c r="AC40" s="43"/>
      <c r="AD40" s="43"/>
      <c r="AE40" s="43"/>
      <c r="AF40" s="43"/>
      <c r="AG40" s="142">
        <v>44613</v>
      </c>
      <c r="AH40" s="142">
        <v>44613</v>
      </c>
      <c r="AI40" s="77">
        <v>44670</v>
      </c>
      <c r="AJ40" s="79">
        <v>44678</v>
      </c>
      <c r="AK40" s="79">
        <v>44678</v>
      </c>
      <c r="AL40" s="135" t="s">
        <v>31</v>
      </c>
      <c r="AM40" s="73">
        <f>82500+40000+121500+70000</f>
        <v>314000</v>
      </c>
      <c r="AN40" s="96"/>
      <c r="AO40" s="96"/>
      <c r="AP40" s="73">
        <v>312200</v>
      </c>
      <c r="AQ40" s="44"/>
      <c r="AR40" s="114"/>
      <c r="AS40" s="98"/>
      <c r="AT40" s="98"/>
      <c r="AU40" s="98"/>
      <c r="AV40" s="98"/>
      <c r="AW40" s="98"/>
      <c r="AX40" s="98"/>
      <c r="AY40" s="98"/>
      <c r="AZ40" s="115"/>
    </row>
    <row r="41" spans="1:52" s="19" customFormat="1" ht="12.6" customHeight="1" x14ac:dyDescent="0.2">
      <c r="A41" s="72" t="s">
        <v>143</v>
      </c>
      <c r="B41" s="72" t="s">
        <v>128</v>
      </c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0"/>
      <c r="R41" s="40"/>
      <c r="S41" s="40"/>
      <c r="T41" s="73">
        <v>210000</v>
      </c>
      <c r="U41" s="41"/>
      <c r="V41" s="145" t="s">
        <v>91</v>
      </c>
      <c r="W41" s="42"/>
      <c r="X41" s="2">
        <v>53.9</v>
      </c>
      <c r="Y41" s="113"/>
      <c r="Z41" s="43"/>
      <c r="AA41" s="40"/>
      <c r="AB41" s="40"/>
      <c r="AC41" s="43"/>
      <c r="AD41" s="43"/>
      <c r="AE41" s="43"/>
      <c r="AF41" s="43"/>
      <c r="AG41" s="76">
        <v>44658</v>
      </c>
      <c r="AH41" s="76">
        <v>44658</v>
      </c>
      <c r="AI41" s="77">
        <v>44708</v>
      </c>
      <c r="AJ41" s="79">
        <v>44745</v>
      </c>
      <c r="AK41" s="79">
        <v>44745</v>
      </c>
      <c r="AL41" s="135" t="s">
        <v>31</v>
      </c>
      <c r="AM41" s="73">
        <v>210000</v>
      </c>
      <c r="AN41" s="96"/>
      <c r="AO41" s="96"/>
      <c r="AP41" s="73">
        <v>209336</v>
      </c>
      <c r="AQ41" s="44"/>
      <c r="AR41" s="114"/>
      <c r="AS41" s="98"/>
      <c r="AT41" s="98"/>
      <c r="AU41" s="98"/>
      <c r="AV41" s="98"/>
      <c r="AW41" s="98"/>
      <c r="AX41" s="98"/>
      <c r="AY41" s="98"/>
      <c r="AZ41" s="115"/>
    </row>
    <row r="42" spans="1:52" s="19" customFormat="1" ht="12.6" customHeight="1" x14ac:dyDescent="0.2">
      <c r="A42" s="72" t="s">
        <v>145</v>
      </c>
      <c r="B42" s="72" t="s">
        <v>118</v>
      </c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0"/>
      <c r="R42" s="40"/>
      <c r="S42" s="40"/>
      <c r="T42" s="73">
        <v>120000</v>
      </c>
      <c r="U42" s="41"/>
      <c r="V42" s="145" t="s">
        <v>101</v>
      </c>
      <c r="W42" s="42"/>
      <c r="X42" s="2">
        <v>53.9</v>
      </c>
      <c r="Y42" s="113"/>
      <c r="Z42" s="43"/>
      <c r="AA42" s="40"/>
      <c r="AB42" s="40"/>
      <c r="AC42" s="43"/>
      <c r="AD42" s="43"/>
      <c r="AE42" s="43"/>
      <c r="AF42" s="43"/>
      <c r="AG42" s="142">
        <v>44607</v>
      </c>
      <c r="AH42" s="142">
        <v>44607</v>
      </c>
      <c r="AI42" s="77">
        <v>44657</v>
      </c>
      <c r="AJ42" s="79">
        <v>44664</v>
      </c>
      <c r="AK42" s="79">
        <v>44664</v>
      </c>
      <c r="AL42" s="135" t="s">
        <v>31</v>
      </c>
      <c r="AM42" s="73">
        <v>120000</v>
      </c>
      <c r="AN42" s="96"/>
      <c r="AO42" s="96"/>
      <c r="AP42" s="73">
        <v>118970</v>
      </c>
      <c r="AQ42" s="44"/>
      <c r="AR42" s="114"/>
      <c r="AS42" s="98"/>
      <c r="AT42" s="98"/>
      <c r="AU42" s="98"/>
      <c r="AV42" s="98"/>
      <c r="AW42" s="98"/>
      <c r="AX42" s="98"/>
      <c r="AY42" s="98"/>
      <c r="AZ42" s="115"/>
    </row>
    <row r="43" spans="1:52" s="19" customFormat="1" ht="12.6" customHeight="1" x14ac:dyDescent="0.2">
      <c r="A43" s="72" t="s">
        <v>137</v>
      </c>
      <c r="B43" s="72" t="s">
        <v>112</v>
      </c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0"/>
      <c r="R43" s="40"/>
      <c r="S43" s="40"/>
      <c r="T43" s="73">
        <v>26000</v>
      </c>
      <c r="U43" s="41"/>
      <c r="V43" s="145" t="s">
        <v>80</v>
      </c>
      <c r="W43" s="42"/>
      <c r="X43" s="2">
        <v>53.9</v>
      </c>
      <c r="Y43" s="113"/>
      <c r="Z43" s="43"/>
      <c r="AA43" s="40"/>
      <c r="AB43" s="40"/>
      <c r="AC43" s="43"/>
      <c r="AD43" s="43"/>
      <c r="AE43" s="43"/>
      <c r="AF43" s="43"/>
      <c r="AG43" s="75">
        <v>44698</v>
      </c>
      <c r="AH43" s="75">
        <v>44698</v>
      </c>
      <c r="AI43" s="77">
        <v>44706</v>
      </c>
      <c r="AJ43" s="79">
        <v>44713</v>
      </c>
      <c r="AK43" s="79">
        <v>44713</v>
      </c>
      <c r="AL43" s="135" t="s">
        <v>31</v>
      </c>
      <c r="AM43" s="73">
        <v>26000</v>
      </c>
      <c r="AN43" s="96"/>
      <c r="AO43" s="96"/>
      <c r="AP43" s="73">
        <v>25287</v>
      </c>
      <c r="AQ43" s="44"/>
      <c r="AR43" s="114"/>
      <c r="AS43" s="98"/>
      <c r="AT43" s="98"/>
      <c r="AU43" s="98"/>
      <c r="AV43" s="98"/>
      <c r="AW43" s="98"/>
      <c r="AX43" s="98"/>
      <c r="AY43" s="98"/>
      <c r="AZ43" s="115"/>
    </row>
    <row r="44" spans="1:52" s="19" customFormat="1" ht="12.6" customHeight="1" x14ac:dyDescent="0.2">
      <c r="A44" s="72" t="s">
        <v>152</v>
      </c>
      <c r="B44" s="72" t="s">
        <v>129</v>
      </c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0"/>
      <c r="R44" s="40"/>
      <c r="S44" s="40"/>
      <c r="T44" s="73">
        <v>19080</v>
      </c>
      <c r="U44" s="41"/>
      <c r="V44" s="145" t="s">
        <v>106</v>
      </c>
      <c r="W44" s="42"/>
      <c r="X44" s="2">
        <v>53.9</v>
      </c>
      <c r="Y44" s="113"/>
      <c r="Z44" s="43"/>
      <c r="AA44" s="40"/>
      <c r="AB44" s="40"/>
      <c r="AC44" s="43"/>
      <c r="AD44" s="43"/>
      <c r="AE44" s="43"/>
      <c r="AF44" s="43"/>
      <c r="AG44" s="75">
        <v>44678</v>
      </c>
      <c r="AH44" s="75">
        <v>44678</v>
      </c>
      <c r="AI44" s="77">
        <v>44705</v>
      </c>
      <c r="AJ44" s="79">
        <v>44712</v>
      </c>
      <c r="AK44" s="79">
        <v>44712</v>
      </c>
      <c r="AL44" s="135" t="s">
        <v>31</v>
      </c>
      <c r="AM44" s="73">
        <v>19080</v>
      </c>
      <c r="AN44" s="96"/>
      <c r="AO44" s="96"/>
      <c r="AP44" s="73">
        <v>18870</v>
      </c>
      <c r="AQ44" s="44"/>
      <c r="AR44" s="114"/>
      <c r="AS44" s="98"/>
      <c r="AT44" s="98"/>
      <c r="AU44" s="98"/>
      <c r="AV44" s="98"/>
      <c r="AW44" s="98"/>
      <c r="AX44" s="98"/>
      <c r="AY44" s="98"/>
      <c r="AZ44" s="115"/>
    </row>
    <row r="45" spans="1:52" s="19" customFormat="1" ht="12.6" customHeight="1" x14ac:dyDescent="0.2">
      <c r="A45" s="72" t="s">
        <v>143</v>
      </c>
      <c r="B45" s="72" t="s">
        <v>128</v>
      </c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73">
        <f>4000+31000+50000+2000+92300</f>
        <v>179300</v>
      </c>
      <c r="U45" s="41"/>
      <c r="V45" s="145" t="s">
        <v>95</v>
      </c>
      <c r="W45" s="42"/>
      <c r="X45" s="2">
        <v>53.9</v>
      </c>
      <c r="Y45" s="113"/>
      <c r="Z45" s="43"/>
      <c r="AA45" s="40"/>
      <c r="AB45" s="40"/>
      <c r="AC45" s="43"/>
      <c r="AD45" s="43"/>
      <c r="AE45" s="43"/>
      <c r="AF45" s="43"/>
      <c r="AG45" s="142">
        <v>44610</v>
      </c>
      <c r="AH45" s="142">
        <v>44610</v>
      </c>
      <c r="AI45" s="77">
        <v>44706</v>
      </c>
      <c r="AJ45" s="79">
        <v>44713</v>
      </c>
      <c r="AK45" s="79">
        <v>44713</v>
      </c>
      <c r="AL45" s="135" t="s">
        <v>31</v>
      </c>
      <c r="AM45" s="73">
        <f>4000+31000+50000+2000+92300</f>
        <v>179300</v>
      </c>
      <c r="AN45" s="96"/>
      <c r="AO45" s="96"/>
      <c r="AP45" s="73">
        <v>178921</v>
      </c>
      <c r="AQ45" s="44"/>
      <c r="AR45" s="114"/>
      <c r="AS45" s="98"/>
      <c r="AT45" s="98"/>
      <c r="AU45" s="98"/>
      <c r="AV45" s="98"/>
      <c r="AW45" s="98"/>
      <c r="AX45" s="98"/>
      <c r="AY45" s="98"/>
      <c r="AZ45" s="115"/>
    </row>
    <row r="46" spans="1:52" s="19" customFormat="1" ht="12.6" customHeight="1" x14ac:dyDescent="0.2">
      <c r="A46" s="72" t="s">
        <v>142</v>
      </c>
      <c r="B46" s="72" t="s">
        <v>116</v>
      </c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73">
        <v>5100</v>
      </c>
      <c r="U46" s="41"/>
      <c r="V46" s="145" t="s">
        <v>94</v>
      </c>
      <c r="W46" s="42"/>
      <c r="X46" s="2">
        <v>53.9</v>
      </c>
      <c r="Y46" s="113"/>
      <c r="Z46" s="43"/>
      <c r="AA46" s="40"/>
      <c r="AB46" s="40"/>
      <c r="AC46" s="43"/>
      <c r="AD46" s="43"/>
      <c r="AE46" s="43"/>
      <c r="AF46" s="43"/>
      <c r="AG46" s="75">
        <v>44664</v>
      </c>
      <c r="AH46" s="75">
        <v>44664</v>
      </c>
      <c r="AI46" s="77">
        <v>44706</v>
      </c>
      <c r="AJ46" s="79">
        <v>44713</v>
      </c>
      <c r="AK46" s="79">
        <v>44713</v>
      </c>
      <c r="AL46" s="135" t="s">
        <v>31</v>
      </c>
      <c r="AM46" s="73">
        <v>5100</v>
      </c>
      <c r="AN46" s="96"/>
      <c r="AO46" s="96"/>
      <c r="AP46" s="73">
        <v>5050</v>
      </c>
      <c r="AQ46" s="44"/>
      <c r="AR46" s="114"/>
      <c r="AS46" s="98"/>
      <c r="AT46" s="98"/>
      <c r="AU46" s="98"/>
      <c r="AV46" s="98"/>
      <c r="AW46" s="98"/>
      <c r="AX46" s="98"/>
      <c r="AY46" s="98"/>
      <c r="AZ46" s="115"/>
    </row>
    <row r="47" spans="1:52" s="19" customFormat="1" ht="12.6" customHeight="1" x14ac:dyDescent="0.2">
      <c r="A47" s="72" t="s">
        <v>136</v>
      </c>
      <c r="B47" s="72" t="s">
        <v>111</v>
      </c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0"/>
      <c r="R47" s="40"/>
      <c r="S47" s="40"/>
      <c r="T47" s="73">
        <v>61100</v>
      </c>
      <c r="U47" s="41"/>
      <c r="V47" s="145" t="s">
        <v>88</v>
      </c>
      <c r="W47" s="42"/>
      <c r="X47" s="2">
        <v>53.9</v>
      </c>
      <c r="Y47" s="113"/>
      <c r="Z47" s="43"/>
      <c r="AA47" s="40"/>
      <c r="AB47" s="40"/>
      <c r="AC47" s="43"/>
      <c r="AD47" s="43"/>
      <c r="AE47" s="43"/>
      <c r="AF47" s="43"/>
      <c r="AG47" s="75">
        <v>44683</v>
      </c>
      <c r="AH47" s="75">
        <v>44683</v>
      </c>
      <c r="AI47" s="77">
        <v>44711</v>
      </c>
      <c r="AJ47" s="79">
        <v>44715</v>
      </c>
      <c r="AK47" s="79">
        <v>44715</v>
      </c>
      <c r="AL47" s="135" t="s">
        <v>31</v>
      </c>
      <c r="AM47" s="73">
        <v>61100</v>
      </c>
      <c r="AN47" s="96"/>
      <c r="AO47" s="96"/>
      <c r="AP47" s="73">
        <v>60810</v>
      </c>
      <c r="AQ47" s="44"/>
      <c r="AR47" s="114"/>
      <c r="AS47" s="98"/>
      <c r="AT47" s="98"/>
      <c r="AU47" s="98"/>
      <c r="AV47" s="98"/>
      <c r="AW47" s="98"/>
      <c r="AX47" s="98"/>
      <c r="AY47" s="98"/>
      <c r="AZ47" s="115"/>
    </row>
    <row r="48" spans="1:52" s="19" customFormat="1" ht="12.6" customHeight="1" x14ac:dyDescent="0.2">
      <c r="A48" s="72" t="s">
        <v>143</v>
      </c>
      <c r="B48" s="72" t="s">
        <v>128</v>
      </c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0"/>
      <c r="R48" s="40"/>
      <c r="S48" s="40"/>
      <c r="T48" s="73">
        <f>43000+27000</f>
        <v>70000</v>
      </c>
      <c r="U48" s="41"/>
      <c r="V48" s="145" t="s">
        <v>88</v>
      </c>
      <c r="W48" s="42"/>
      <c r="X48" s="2">
        <v>53.9</v>
      </c>
      <c r="Y48" s="113"/>
      <c r="Z48" s="43"/>
      <c r="AA48" s="40"/>
      <c r="AB48" s="40"/>
      <c r="AC48" s="43"/>
      <c r="AD48" s="43"/>
      <c r="AE48" s="43"/>
      <c r="AF48" s="43"/>
      <c r="AG48" s="76">
        <v>44662</v>
      </c>
      <c r="AH48" s="76">
        <v>44662</v>
      </c>
      <c r="AI48" s="77">
        <v>44706</v>
      </c>
      <c r="AJ48" s="79">
        <v>44719</v>
      </c>
      <c r="AK48" s="79">
        <v>44719</v>
      </c>
      <c r="AL48" s="135" t="s">
        <v>31</v>
      </c>
      <c r="AM48" s="73">
        <f>43000+27000</f>
        <v>70000</v>
      </c>
      <c r="AN48" s="96"/>
      <c r="AO48" s="96"/>
      <c r="AP48" s="73">
        <f>42605+26730</f>
        <v>69335</v>
      </c>
      <c r="AQ48" s="44"/>
      <c r="AR48" s="114"/>
      <c r="AS48" s="98"/>
      <c r="AT48" s="98"/>
      <c r="AU48" s="98"/>
      <c r="AV48" s="98"/>
      <c r="AW48" s="98"/>
      <c r="AX48" s="98"/>
      <c r="AY48" s="98"/>
      <c r="AZ48" s="115"/>
    </row>
    <row r="49" spans="1:52" s="19" customFormat="1" ht="12.6" customHeight="1" x14ac:dyDescent="0.2">
      <c r="A49" s="72" t="s">
        <v>138</v>
      </c>
      <c r="B49" s="72" t="s">
        <v>125</v>
      </c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0"/>
      <c r="R49" s="40"/>
      <c r="S49" s="40"/>
      <c r="T49" s="73">
        <v>138500</v>
      </c>
      <c r="U49" s="41"/>
      <c r="V49" s="145" t="s">
        <v>98</v>
      </c>
      <c r="W49" s="42"/>
      <c r="X49" s="2">
        <v>53.9</v>
      </c>
      <c r="Y49" s="113"/>
      <c r="Z49" s="43"/>
      <c r="AA49" s="40"/>
      <c r="AB49" s="40"/>
      <c r="AC49" s="43"/>
      <c r="AD49" s="43"/>
      <c r="AE49" s="43"/>
      <c r="AF49" s="43"/>
      <c r="AG49" s="142">
        <v>44616</v>
      </c>
      <c r="AH49" s="142">
        <v>44616</v>
      </c>
      <c r="AI49" s="77">
        <v>44664</v>
      </c>
      <c r="AJ49" s="79">
        <v>44671</v>
      </c>
      <c r="AK49" s="79">
        <v>44671</v>
      </c>
      <c r="AL49" s="135" t="s">
        <v>31</v>
      </c>
      <c r="AM49" s="73">
        <v>138500</v>
      </c>
      <c r="AN49" s="96"/>
      <c r="AO49" s="96"/>
      <c r="AP49" s="73">
        <v>138064</v>
      </c>
      <c r="AQ49" s="44"/>
      <c r="AR49" s="114"/>
      <c r="AS49" s="98"/>
      <c r="AT49" s="98"/>
      <c r="AU49" s="98"/>
      <c r="AV49" s="98"/>
      <c r="AW49" s="98"/>
      <c r="AX49" s="98"/>
      <c r="AY49" s="98"/>
      <c r="AZ49" s="115"/>
    </row>
    <row r="50" spans="1:52" s="19" customFormat="1" ht="12.6" customHeight="1" x14ac:dyDescent="0.2">
      <c r="A50" s="72" t="s">
        <v>140</v>
      </c>
      <c r="B50" s="72" t="s">
        <v>115</v>
      </c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0"/>
      <c r="R50" s="40"/>
      <c r="S50" s="40"/>
      <c r="T50" s="73">
        <v>15000</v>
      </c>
      <c r="U50" s="41"/>
      <c r="V50" s="145" t="s">
        <v>82</v>
      </c>
      <c r="W50" s="42"/>
      <c r="X50" s="2">
        <v>53.9</v>
      </c>
      <c r="Y50" s="113"/>
      <c r="Z50" s="43"/>
      <c r="AA50" s="40"/>
      <c r="AB50" s="40"/>
      <c r="AC50" s="43"/>
      <c r="AD50" s="43"/>
      <c r="AE50" s="43"/>
      <c r="AF50" s="43"/>
      <c r="AG50" s="75">
        <v>44699</v>
      </c>
      <c r="AH50" s="75">
        <v>44699</v>
      </c>
      <c r="AI50" s="77">
        <v>44727</v>
      </c>
      <c r="AJ50" s="79">
        <v>44733</v>
      </c>
      <c r="AK50" s="79">
        <v>44733</v>
      </c>
      <c r="AL50" s="135" t="s">
        <v>31</v>
      </c>
      <c r="AM50" s="73">
        <v>15000</v>
      </c>
      <c r="AN50" s="96"/>
      <c r="AO50" s="96"/>
      <c r="AP50" s="73">
        <v>14850</v>
      </c>
      <c r="AQ50" s="44"/>
      <c r="AR50" s="114"/>
      <c r="AS50" s="98"/>
      <c r="AT50" s="98"/>
      <c r="AU50" s="98"/>
      <c r="AV50" s="98"/>
      <c r="AW50" s="98"/>
      <c r="AX50" s="98"/>
      <c r="AY50" s="98"/>
      <c r="AZ50" s="115"/>
    </row>
    <row r="51" spans="1:52" s="19" customFormat="1" ht="12.6" customHeight="1" x14ac:dyDescent="0.2">
      <c r="A51" s="72" t="s">
        <v>141</v>
      </c>
      <c r="B51" s="72" t="s">
        <v>130</v>
      </c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40"/>
      <c r="T51" s="73">
        <v>36055</v>
      </c>
      <c r="U51" s="41"/>
      <c r="V51" s="145" t="s">
        <v>95</v>
      </c>
      <c r="W51" s="42"/>
      <c r="X51" s="2">
        <v>53.9</v>
      </c>
      <c r="Y51" s="113"/>
      <c r="Z51" s="43"/>
      <c r="AA51" s="40"/>
      <c r="AB51" s="40"/>
      <c r="AC51" s="43"/>
      <c r="AD51" s="43"/>
      <c r="AE51" s="43"/>
      <c r="AF51" s="43"/>
      <c r="AG51" s="75">
        <v>44707</v>
      </c>
      <c r="AH51" s="75">
        <v>44707</v>
      </c>
      <c r="AI51" s="77">
        <v>44747</v>
      </c>
      <c r="AJ51" s="79">
        <v>44754</v>
      </c>
      <c r="AK51" s="79">
        <v>44754</v>
      </c>
      <c r="AL51" s="135" t="s">
        <v>31</v>
      </c>
      <c r="AM51" s="73">
        <v>36055</v>
      </c>
      <c r="AN51" s="96"/>
      <c r="AO51" s="96"/>
      <c r="AP51" s="73">
        <v>36015</v>
      </c>
      <c r="AQ51" s="44"/>
      <c r="AR51" s="114"/>
      <c r="AS51" s="98"/>
      <c r="AT51" s="98"/>
      <c r="AU51" s="98"/>
      <c r="AV51" s="98"/>
      <c r="AW51" s="98"/>
      <c r="AX51" s="98"/>
      <c r="AY51" s="98"/>
      <c r="AZ51" s="115"/>
    </row>
    <row r="52" spans="1:52" s="19" customFormat="1" ht="12.6" customHeight="1" x14ac:dyDescent="0.2">
      <c r="A52" s="72" t="s">
        <v>137</v>
      </c>
      <c r="B52" s="72" t="s">
        <v>112</v>
      </c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0"/>
      <c r="R52" s="40"/>
      <c r="S52" s="40"/>
      <c r="T52" s="73">
        <f>40000+7000+10500+3000+11000</f>
        <v>71500</v>
      </c>
      <c r="U52" s="41"/>
      <c r="V52" s="145" t="s">
        <v>86</v>
      </c>
      <c r="W52" s="42"/>
      <c r="X52" s="2">
        <v>53.9</v>
      </c>
      <c r="Y52" s="113"/>
      <c r="Z52" s="43"/>
      <c r="AA52" s="40"/>
      <c r="AB52" s="40"/>
      <c r="AC52" s="43"/>
      <c r="AD52" s="43"/>
      <c r="AE52" s="43"/>
      <c r="AF52" s="43"/>
      <c r="AG52" s="75">
        <v>44671</v>
      </c>
      <c r="AH52" s="75">
        <v>44671</v>
      </c>
      <c r="AI52" s="77">
        <v>44706</v>
      </c>
      <c r="AJ52" s="79">
        <v>44719</v>
      </c>
      <c r="AK52" s="79">
        <v>44719</v>
      </c>
      <c r="AL52" s="135" t="s">
        <v>31</v>
      </c>
      <c r="AM52" s="73">
        <f>40000+7000+10500+3000+11000</f>
        <v>71500</v>
      </c>
      <c r="AN52" s="96"/>
      <c r="AO52" s="96"/>
      <c r="AP52" s="73">
        <f>39631+6830+10395+2940+10890</f>
        <v>70686</v>
      </c>
      <c r="AQ52" s="44"/>
      <c r="AR52" s="114"/>
      <c r="AS52" s="98"/>
      <c r="AT52" s="98"/>
      <c r="AU52" s="98"/>
      <c r="AV52" s="98"/>
      <c r="AW52" s="98"/>
      <c r="AX52" s="98"/>
      <c r="AY52" s="98"/>
      <c r="AZ52" s="115"/>
    </row>
    <row r="53" spans="1:52" s="19" customFormat="1" ht="12.6" customHeight="1" x14ac:dyDescent="0.2">
      <c r="A53" s="72" t="s">
        <v>144</v>
      </c>
      <c r="B53" s="72" t="s">
        <v>126</v>
      </c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0"/>
      <c r="R53" s="40"/>
      <c r="S53" s="40"/>
      <c r="T53" s="73">
        <v>52000</v>
      </c>
      <c r="U53" s="41"/>
      <c r="V53" s="145" t="s">
        <v>80</v>
      </c>
      <c r="W53" s="42"/>
      <c r="X53" s="2">
        <v>53.9</v>
      </c>
      <c r="Y53" s="113"/>
      <c r="Z53" s="43"/>
      <c r="AA53" s="40"/>
      <c r="AB53" s="40"/>
      <c r="AC53" s="43"/>
      <c r="AD53" s="43"/>
      <c r="AE53" s="43"/>
      <c r="AF53" s="43"/>
      <c r="AG53" s="75">
        <v>44701</v>
      </c>
      <c r="AH53" s="75">
        <v>44701</v>
      </c>
      <c r="AI53" s="77">
        <v>44706</v>
      </c>
      <c r="AJ53" s="79">
        <v>44719</v>
      </c>
      <c r="AK53" s="79">
        <v>44719</v>
      </c>
      <c r="AL53" s="135" t="s">
        <v>31</v>
      </c>
      <c r="AM53" s="73">
        <v>52000</v>
      </c>
      <c r="AN53" s="96"/>
      <c r="AO53" s="96"/>
      <c r="AP53" s="73">
        <v>51065</v>
      </c>
      <c r="AQ53" s="44"/>
      <c r="AR53" s="114"/>
      <c r="AS53" s="98"/>
      <c r="AT53" s="98"/>
      <c r="AU53" s="98"/>
      <c r="AV53" s="98"/>
      <c r="AW53" s="98"/>
      <c r="AX53" s="98"/>
      <c r="AY53" s="98"/>
      <c r="AZ53" s="115"/>
    </row>
    <row r="54" spans="1:52" s="19" customFormat="1" ht="12.6" customHeight="1" x14ac:dyDescent="0.2">
      <c r="A54" s="72" t="s">
        <v>142</v>
      </c>
      <c r="B54" s="72" t="s">
        <v>116</v>
      </c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0"/>
      <c r="R54" s="40"/>
      <c r="S54" s="40"/>
      <c r="T54" s="73">
        <v>6000</v>
      </c>
      <c r="U54" s="41"/>
      <c r="V54" s="145" t="s">
        <v>108</v>
      </c>
      <c r="W54" s="42"/>
      <c r="X54" s="2">
        <v>53.9</v>
      </c>
      <c r="Y54" s="113"/>
      <c r="Z54" s="43"/>
      <c r="AA54" s="40"/>
      <c r="AB54" s="40"/>
      <c r="AC54" s="43"/>
      <c r="AD54" s="43"/>
      <c r="AE54" s="43"/>
      <c r="AF54" s="43"/>
      <c r="AG54" s="75">
        <v>44727</v>
      </c>
      <c r="AH54" s="75">
        <v>44727</v>
      </c>
      <c r="AI54" s="77">
        <v>44747</v>
      </c>
      <c r="AJ54" s="79">
        <v>44754</v>
      </c>
      <c r="AK54" s="79">
        <v>44754</v>
      </c>
      <c r="AL54" s="135" t="s">
        <v>31</v>
      </c>
      <c r="AM54" s="73">
        <v>6000</v>
      </c>
      <c r="AN54" s="96"/>
      <c r="AO54" s="96"/>
      <c r="AP54" s="73">
        <v>5976</v>
      </c>
      <c r="AQ54" s="44"/>
      <c r="AR54" s="114"/>
      <c r="AS54" s="98"/>
      <c r="AT54" s="98"/>
      <c r="AU54" s="98"/>
      <c r="AV54" s="98"/>
      <c r="AW54" s="98"/>
      <c r="AX54" s="98"/>
      <c r="AY54" s="98"/>
      <c r="AZ54" s="115"/>
    </row>
    <row r="55" spans="1:52" s="19" customFormat="1" ht="12.6" customHeight="1" x14ac:dyDescent="0.2">
      <c r="A55" s="72" t="s">
        <v>139</v>
      </c>
      <c r="B55" s="72" t="s">
        <v>114</v>
      </c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0"/>
      <c r="R55" s="40"/>
      <c r="S55" s="40"/>
      <c r="T55" s="73">
        <v>10000</v>
      </c>
      <c r="U55" s="41"/>
      <c r="V55" s="145" t="s">
        <v>79</v>
      </c>
      <c r="W55" s="42"/>
      <c r="X55" s="2">
        <v>53.9</v>
      </c>
      <c r="Y55" s="113"/>
      <c r="Z55" s="43"/>
      <c r="AA55" s="40"/>
      <c r="AB55" s="40"/>
      <c r="AC55" s="43"/>
      <c r="AD55" s="43"/>
      <c r="AE55" s="43"/>
      <c r="AF55" s="43"/>
      <c r="AG55" s="75">
        <v>44698</v>
      </c>
      <c r="AH55" s="75">
        <v>44698</v>
      </c>
      <c r="AI55" s="77">
        <v>44726</v>
      </c>
      <c r="AJ55" s="79">
        <v>44732</v>
      </c>
      <c r="AK55" s="79">
        <v>44732</v>
      </c>
      <c r="AL55" s="135" t="s">
        <v>31</v>
      </c>
      <c r="AM55" s="73">
        <v>10000</v>
      </c>
      <c r="AN55" s="96"/>
      <c r="AO55" s="96"/>
      <c r="AP55" s="73">
        <v>9840</v>
      </c>
      <c r="AQ55" s="44"/>
      <c r="AR55" s="114"/>
      <c r="AS55" s="98"/>
      <c r="AT55" s="98"/>
      <c r="AU55" s="98"/>
      <c r="AV55" s="98"/>
      <c r="AW55" s="98"/>
      <c r="AX55" s="98"/>
      <c r="AY55" s="98"/>
      <c r="AZ55" s="115"/>
    </row>
    <row r="56" spans="1:52" s="19" customFormat="1" ht="12.6" customHeight="1" x14ac:dyDescent="0.2">
      <c r="A56" s="72" t="s">
        <v>137</v>
      </c>
      <c r="B56" s="72" t="s">
        <v>112</v>
      </c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0"/>
      <c r="R56" s="40"/>
      <c r="S56" s="40"/>
      <c r="T56" s="73">
        <v>15000</v>
      </c>
      <c r="U56" s="41"/>
      <c r="V56" s="145" t="s">
        <v>96</v>
      </c>
      <c r="W56" s="42"/>
      <c r="X56" s="2">
        <v>53.9</v>
      </c>
      <c r="Y56" s="113"/>
      <c r="Z56" s="43"/>
      <c r="AA56" s="40"/>
      <c r="AB56" s="40"/>
      <c r="AC56" s="43"/>
      <c r="AD56" s="43"/>
      <c r="AE56" s="43"/>
      <c r="AF56" s="43"/>
      <c r="AG56" s="75">
        <v>44657</v>
      </c>
      <c r="AH56" s="75">
        <v>44657</v>
      </c>
      <c r="AI56" s="77">
        <v>44732</v>
      </c>
      <c r="AJ56" s="79">
        <v>44739</v>
      </c>
      <c r="AK56" s="79">
        <v>44739</v>
      </c>
      <c r="AL56" s="135" t="s">
        <v>31</v>
      </c>
      <c r="AM56" s="73">
        <v>15000</v>
      </c>
      <c r="AN56" s="96"/>
      <c r="AO56" s="96"/>
      <c r="AP56" s="73">
        <v>14525</v>
      </c>
      <c r="AQ56" s="44"/>
      <c r="AR56" s="114"/>
      <c r="AS56" s="98"/>
      <c r="AT56" s="98"/>
      <c r="AU56" s="98"/>
      <c r="AV56" s="98"/>
      <c r="AW56" s="98"/>
      <c r="AX56" s="98"/>
      <c r="AY56" s="98"/>
      <c r="AZ56" s="115"/>
    </row>
    <row r="57" spans="1:52" s="19" customFormat="1" ht="12.6" customHeight="1" x14ac:dyDescent="0.2">
      <c r="A57" s="72" t="s">
        <v>145</v>
      </c>
      <c r="B57" s="72" t="s">
        <v>118</v>
      </c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0"/>
      <c r="R57" s="40"/>
      <c r="S57" s="40"/>
      <c r="T57" s="73">
        <v>246000</v>
      </c>
      <c r="U57" s="41"/>
      <c r="V57" s="145" t="s">
        <v>84</v>
      </c>
      <c r="W57" s="42"/>
      <c r="X57" s="2">
        <v>53.9</v>
      </c>
      <c r="Y57" s="113"/>
      <c r="Z57" s="43"/>
      <c r="AA57" s="40"/>
      <c r="AB57" s="40"/>
      <c r="AC57" s="43"/>
      <c r="AD57" s="43"/>
      <c r="AE57" s="43"/>
      <c r="AF57" s="43"/>
      <c r="AG57" s="75">
        <v>44671</v>
      </c>
      <c r="AH57" s="75">
        <v>44671</v>
      </c>
      <c r="AI57" s="77">
        <v>44732</v>
      </c>
      <c r="AJ57" s="79">
        <v>44739</v>
      </c>
      <c r="AK57" s="79">
        <v>44739</v>
      </c>
      <c r="AL57" s="135" t="s">
        <v>31</v>
      </c>
      <c r="AM57" s="73">
        <v>246000</v>
      </c>
      <c r="AN57" s="96"/>
      <c r="AO57" s="96"/>
      <c r="AP57" s="73">
        <v>245050</v>
      </c>
      <c r="AQ57" s="44"/>
      <c r="AR57" s="114"/>
      <c r="AS57" s="98"/>
      <c r="AT57" s="98"/>
      <c r="AU57" s="98"/>
      <c r="AV57" s="98"/>
      <c r="AW57" s="98"/>
      <c r="AX57" s="98"/>
      <c r="AY57" s="98"/>
      <c r="AZ57" s="115"/>
    </row>
    <row r="58" spans="1:52" s="19" customFormat="1" ht="12.6" customHeight="1" x14ac:dyDescent="0.2">
      <c r="A58" s="72" t="s">
        <v>146</v>
      </c>
      <c r="B58" s="72" t="s">
        <v>121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0"/>
      <c r="R58" s="40"/>
      <c r="S58" s="40"/>
      <c r="T58" s="73">
        <v>248900</v>
      </c>
      <c r="U58" s="41"/>
      <c r="V58" s="72" t="s">
        <v>101</v>
      </c>
      <c r="W58" s="42"/>
      <c r="X58" s="2">
        <v>53.9</v>
      </c>
      <c r="Y58" s="113"/>
      <c r="Z58" s="43"/>
      <c r="AA58" s="40"/>
      <c r="AB58" s="40"/>
      <c r="AC58" s="43"/>
      <c r="AD58" s="43"/>
      <c r="AE58" s="43"/>
      <c r="AF58" s="43"/>
      <c r="AG58" s="142">
        <v>44607</v>
      </c>
      <c r="AH58" s="142">
        <v>44607</v>
      </c>
      <c r="AI58" s="77">
        <v>44670</v>
      </c>
      <c r="AJ58" s="79">
        <v>44678</v>
      </c>
      <c r="AK58" s="79">
        <v>44678</v>
      </c>
      <c r="AL58" s="135" t="s">
        <v>31</v>
      </c>
      <c r="AM58" s="73">
        <v>248900</v>
      </c>
      <c r="AN58" s="96"/>
      <c r="AO58" s="96"/>
      <c r="AP58" s="73">
        <v>247336</v>
      </c>
      <c r="AQ58" s="44"/>
      <c r="AR58" s="114"/>
      <c r="AS58" s="98"/>
      <c r="AT58" s="98"/>
      <c r="AU58" s="98"/>
      <c r="AV58" s="98"/>
      <c r="AW58" s="98"/>
      <c r="AX58" s="98"/>
      <c r="AY58" s="98"/>
      <c r="AZ58" s="115"/>
    </row>
    <row r="59" spans="1:52" s="19" customFormat="1" ht="12.6" customHeight="1" x14ac:dyDescent="0.2">
      <c r="A59" s="72" t="s">
        <v>154</v>
      </c>
      <c r="B59" s="72" t="s">
        <v>131</v>
      </c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0"/>
      <c r="R59" s="40"/>
      <c r="S59" s="40"/>
      <c r="T59" s="73">
        <f>1500+2000+4000</f>
        <v>7500</v>
      </c>
      <c r="U59" s="41"/>
      <c r="V59" s="72" t="s">
        <v>95</v>
      </c>
      <c r="W59" s="42"/>
      <c r="X59" s="2">
        <v>53.9</v>
      </c>
      <c r="Y59" s="113"/>
      <c r="Z59" s="43"/>
      <c r="AA59" s="40"/>
      <c r="AB59" s="40"/>
      <c r="AC59" s="43"/>
      <c r="AD59" s="43"/>
      <c r="AE59" s="43"/>
      <c r="AF59" s="43"/>
      <c r="AG59" s="76">
        <v>44657</v>
      </c>
      <c r="AH59" s="76">
        <v>44657</v>
      </c>
      <c r="AI59" s="77">
        <v>44726</v>
      </c>
      <c r="AJ59" s="79">
        <v>44732</v>
      </c>
      <c r="AK59" s="79">
        <v>44732</v>
      </c>
      <c r="AL59" s="135" t="s">
        <v>31</v>
      </c>
      <c r="AM59" s="73">
        <f>1500+2000+4000</f>
        <v>7500</v>
      </c>
      <c r="AN59" s="96"/>
      <c r="AO59" s="96"/>
      <c r="AP59" s="73">
        <f>1350+1750+3900</f>
        <v>7000</v>
      </c>
      <c r="AQ59" s="44"/>
      <c r="AR59" s="114"/>
      <c r="AS59" s="98"/>
      <c r="AT59" s="98"/>
      <c r="AU59" s="98"/>
      <c r="AV59" s="98"/>
      <c r="AW59" s="98"/>
      <c r="AX59" s="98"/>
      <c r="AY59" s="98"/>
      <c r="AZ59" s="115"/>
    </row>
    <row r="60" spans="1:52" s="19" customFormat="1" ht="12.6" customHeight="1" x14ac:dyDescent="0.2">
      <c r="A60" s="72" t="s">
        <v>138</v>
      </c>
      <c r="B60" s="72" t="s">
        <v>125</v>
      </c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0"/>
      <c r="R60" s="40"/>
      <c r="S60" s="40"/>
      <c r="T60" s="73">
        <f>85500+5000+12000+6000</f>
        <v>108500</v>
      </c>
      <c r="U60" s="41"/>
      <c r="V60" s="145" t="s">
        <v>98</v>
      </c>
      <c r="W60" s="42"/>
      <c r="X60" s="2">
        <v>53.9</v>
      </c>
      <c r="Y60" s="113"/>
      <c r="Z60" s="43"/>
      <c r="AA60" s="40"/>
      <c r="AB60" s="40"/>
      <c r="AC60" s="43"/>
      <c r="AD60" s="43"/>
      <c r="AE60" s="43"/>
      <c r="AF60" s="43"/>
      <c r="AG60" s="76">
        <v>44687</v>
      </c>
      <c r="AH60" s="76">
        <v>44687</v>
      </c>
      <c r="AI60" s="77">
        <v>44698</v>
      </c>
      <c r="AJ60" s="79">
        <v>44705</v>
      </c>
      <c r="AK60" s="79">
        <v>44705</v>
      </c>
      <c r="AL60" s="135" t="s">
        <v>31</v>
      </c>
      <c r="AM60" s="73">
        <f>85500+5000+12000+6000</f>
        <v>108500</v>
      </c>
      <c r="AN60" s="96"/>
      <c r="AO60" s="96"/>
      <c r="AP60" s="73">
        <v>108149.5</v>
      </c>
      <c r="AQ60" s="44"/>
      <c r="AR60" s="114"/>
      <c r="AS60" s="98"/>
      <c r="AT60" s="98"/>
      <c r="AU60" s="98"/>
      <c r="AV60" s="98"/>
      <c r="AW60" s="98"/>
      <c r="AX60" s="98"/>
      <c r="AY60" s="98"/>
      <c r="AZ60" s="115"/>
    </row>
    <row r="61" spans="1:52" s="19" customFormat="1" ht="12.6" customHeight="1" x14ac:dyDescent="0.2">
      <c r="A61" s="72" t="s">
        <v>143</v>
      </c>
      <c r="B61" s="72" t="s">
        <v>128</v>
      </c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0"/>
      <c r="R61" s="40"/>
      <c r="S61" s="40"/>
      <c r="T61" s="73">
        <v>173900</v>
      </c>
      <c r="U61" s="41"/>
      <c r="V61" s="145" t="s">
        <v>82</v>
      </c>
      <c r="W61" s="42"/>
      <c r="X61" s="2">
        <v>53.9</v>
      </c>
      <c r="Y61" s="113"/>
      <c r="Z61" s="43"/>
      <c r="AA61" s="40"/>
      <c r="AB61" s="40"/>
      <c r="AC61" s="43"/>
      <c r="AD61" s="43"/>
      <c r="AE61" s="43"/>
      <c r="AF61" s="43"/>
      <c r="AG61" s="75">
        <v>44701</v>
      </c>
      <c r="AH61" s="75">
        <v>44701</v>
      </c>
      <c r="AI61" s="77">
        <v>44740</v>
      </c>
      <c r="AJ61" s="79">
        <v>44746</v>
      </c>
      <c r="AK61" s="79">
        <v>44746</v>
      </c>
      <c r="AL61" s="135" t="s">
        <v>31</v>
      </c>
      <c r="AM61" s="73">
        <v>173900</v>
      </c>
      <c r="AN61" s="96"/>
      <c r="AO61" s="96"/>
      <c r="AP61" s="73">
        <v>172312</v>
      </c>
      <c r="AQ61" s="44"/>
      <c r="AR61" s="114"/>
      <c r="AS61" s="98"/>
      <c r="AT61" s="98"/>
      <c r="AU61" s="98"/>
      <c r="AV61" s="98"/>
      <c r="AW61" s="98"/>
      <c r="AX61" s="98"/>
      <c r="AY61" s="98"/>
      <c r="AZ61" s="115"/>
    </row>
    <row r="62" spans="1:52" s="19" customFormat="1" ht="12.6" customHeight="1" x14ac:dyDescent="0.2">
      <c r="A62" s="72" t="s">
        <v>150</v>
      </c>
      <c r="B62" s="72" t="s">
        <v>122</v>
      </c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0"/>
      <c r="R62" s="40"/>
      <c r="S62" s="40"/>
      <c r="T62" s="73">
        <f>11400+16000+15650</f>
        <v>43050</v>
      </c>
      <c r="U62" s="41"/>
      <c r="V62" s="145" t="s">
        <v>79</v>
      </c>
      <c r="W62" s="42"/>
      <c r="X62" s="2">
        <v>53.9</v>
      </c>
      <c r="Y62" s="113"/>
      <c r="Z62" s="43"/>
      <c r="AA62" s="40"/>
      <c r="AB62" s="40"/>
      <c r="AC62" s="43"/>
      <c r="AD62" s="43"/>
      <c r="AE62" s="43"/>
      <c r="AF62" s="43"/>
      <c r="AG62" s="75">
        <v>44698</v>
      </c>
      <c r="AH62" s="75">
        <v>44698</v>
      </c>
      <c r="AI62" s="77">
        <v>44740</v>
      </c>
      <c r="AJ62" s="79">
        <v>44746</v>
      </c>
      <c r="AK62" s="79">
        <v>44746</v>
      </c>
      <c r="AL62" s="135" t="s">
        <v>31</v>
      </c>
      <c r="AM62" s="73">
        <f>11400+16000+15650</f>
        <v>43050</v>
      </c>
      <c r="AN62" s="96"/>
      <c r="AO62" s="96"/>
      <c r="AP62" s="73">
        <f>11276+15936+15630</f>
        <v>42842</v>
      </c>
      <c r="AQ62" s="44"/>
      <c r="AR62" s="114"/>
      <c r="AS62" s="98"/>
      <c r="AT62" s="98"/>
      <c r="AU62" s="98"/>
      <c r="AV62" s="98"/>
      <c r="AW62" s="98"/>
      <c r="AX62" s="98"/>
      <c r="AY62" s="98"/>
      <c r="AZ62" s="115"/>
    </row>
    <row r="63" spans="1:52" s="19" customFormat="1" ht="12.6" customHeight="1" x14ac:dyDescent="0.2">
      <c r="A63" s="72" t="s">
        <v>147</v>
      </c>
      <c r="B63" s="72" t="s">
        <v>119</v>
      </c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0"/>
      <c r="R63" s="40"/>
      <c r="S63" s="40"/>
      <c r="T63" s="73">
        <f>25000+6400+3000+9000+4000</f>
        <v>47400</v>
      </c>
      <c r="U63" s="41"/>
      <c r="V63" s="145" t="s">
        <v>85</v>
      </c>
      <c r="W63" s="42"/>
      <c r="X63" s="2">
        <v>53.9</v>
      </c>
      <c r="Y63" s="113"/>
      <c r="Z63" s="43"/>
      <c r="AA63" s="40"/>
      <c r="AB63" s="40"/>
      <c r="AC63" s="43"/>
      <c r="AD63" s="43"/>
      <c r="AE63" s="43"/>
      <c r="AF63" s="43"/>
      <c r="AG63" s="75">
        <v>44711</v>
      </c>
      <c r="AH63" s="75">
        <v>44711</v>
      </c>
      <c r="AI63" s="77">
        <v>44732</v>
      </c>
      <c r="AJ63" s="79">
        <v>44739</v>
      </c>
      <c r="AK63" s="79">
        <v>44739</v>
      </c>
      <c r="AL63" s="135" t="s">
        <v>31</v>
      </c>
      <c r="AM63" s="73">
        <f>25000+6400+3000+9000+4000</f>
        <v>47400</v>
      </c>
      <c r="AN63" s="96"/>
      <c r="AO63" s="96"/>
      <c r="AP63" s="73">
        <v>46075</v>
      </c>
      <c r="AQ63" s="44"/>
      <c r="AR63" s="114"/>
      <c r="AS63" s="98"/>
      <c r="AT63" s="98"/>
      <c r="AU63" s="98"/>
      <c r="AV63" s="98"/>
      <c r="AW63" s="98"/>
      <c r="AX63" s="98"/>
      <c r="AY63" s="98"/>
      <c r="AZ63" s="115"/>
    </row>
    <row r="64" spans="1:52" s="19" customFormat="1" ht="12.6" customHeight="1" x14ac:dyDescent="0.2">
      <c r="A64" s="72" t="s">
        <v>137</v>
      </c>
      <c r="B64" s="72" t="s">
        <v>112</v>
      </c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0"/>
      <c r="R64" s="40"/>
      <c r="S64" s="40"/>
      <c r="T64" s="73">
        <v>20000</v>
      </c>
      <c r="U64" s="41"/>
      <c r="V64" s="145" t="s">
        <v>103</v>
      </c>
      <c r="W64" s="42"/>
      <c r="X64" s="2">
        <v>53.9</v>
      </c>
      <c r="Y64" s="113"/>
      <c r="Z64" s="43"/>
      <c r="AA64" s="40"/>
      <c r="AB64" s="40"/>
      <c r="AC64" s="43"/>
      <c r="AD64" s="43"/>
      <c r="AE64" s="43"/>
      <c r="AF64" s="43"/>
      <c r="AG64" s="142">
        <v>44630</v>
      </c>
      <c r="AH64" s="142">
        <v>44630</v>
      </c>
      <c r="AI64" s="77">
        <v>44693</v>
      </c>
      <c r="AJ64" s="79">
        <v>44701</v>
      </c>
      <c r="AK64" s="79">
        <v>44701</v>
      </c>
      <c r="AL64" s="135" t="s">
        <v>31</v>
      </c>
      <c r="AM64" s="73">
        <v>20000</v>
      </c>
      <c r="AN64" s="96"/>
      <c r="AO64" s="96"/>
      <c r="AP64" s="73">
        <v>19605</v>
      </c>
      <c r="AQ64" s="44"/>
      <c r="AR64" s="114"/>
      <c r="AS64" s="98"/>
      <c r="AT64" s="98"/>
      <c r="AU64" s="98"/>
      <c r="AV64" s="98"/>
      <c r="AW64" s="98"/>
      <c r="AX64" s="98"/>
      <c r="AY64" s="98"/>
      <c r="AZ64" s="115"/>
    </row>
    <row r="65" spans="1:52" s="19" customFormat="1" ht="12.6" customHeight="1" x14ac:dyDescent="0.2">
      <c r="A65" s="72" t="s">
        <v>137</v>
      </c>
      <c r="B65" s="72" t="s">
        <v>112</v>
      </c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0"/>
      <c r="R65" s="40"/>
      <c r="S65" s="40"/>
      <c r="T65" s="73">
        <f>25000+71000+12000+18000</f>
        <v>126000</v>
      </c>
      <c r="U65" s="41"/>
      <c r="V65" s="145" t="s">
        <v>93</v>
      </c>
      <c r="W65" s="42"/>
      <c r="X65" s="2">
        <v>53.9</v>
      </c>
      <c r="Y65" s="113"/>
      <c r="Z65" s="43"/>
      <c r="AA65" s="40"/>
      <c r="AB65" s="40"/>
      <c r="AC65" s="43"/>
      <c r="AD65" s="43"/>
      <c r="AE65" s="43"/>
      <c r="AF65" s="43"/>
      <c r="AG65" s="142">
        <v>44616</v>
      </c>
      <c r="AH65" s="142">
        <v>44616</v>
      </c>
      <c r="AI65" s="77">
        <v>44708</v>
      </c>
      <c r="AJ65" s="79">
        <v>44715</v>
      </c>
      <c r="AK65" s="79">
        <v>44715</v>
      </c>
      <c r="AL65" s="135" t="s">
        <v>31</v>
      </c>
      <c r="AM65" s="73">
        <f>25000+71000+12000+18000</f>
        <v>126000</v>
      </c>
      <c r="AN65" s="96"/>
      <c r="AO65" s="96"/>
      <c r="AP65" s="73">
        <v>125399</v>
      </c>
      <c r="AQ65" s="44"/>
      <c r="AR65" s="114"/>
      <c r="AS65" s="98"/>
      <c r="AT65" s="98"/>
      <c r="AU65" s="98"/>
      <c r="AV65" s="98"/>
      <c r="AW65" s="98"/>
      <c r="AX65" s="98"/>
      <c r="AY65" s="98"/>
      <c r="AZ65" s="115"/>
    </row>
    <row r="66" spans="1:52" s="19" customFormat="1" ht="12.6" customHeight="1" x14ac:dyDescent="0.2">
      <c r="A66" s="72" t="s">
        <v>144</v>
      </c>
      <c r="B66" s="72" t="s">
        <v>126</v>
      </c>
      <c r="C66" s="40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0"/>
      <c r="R66" s="40"/>
      <c r="S66" s="40"/>
      <c r="T66" s="73">
        <v>261000</v>
      </c>
      <c r="U66" s="41"/>
      <c r="V66" s="145" t="s">
        <v>97</v>
      </c>
      <c r="W66" s="42"/>
      <c r="X66" s="2">
        <v>53.9</v>
      </c>
      <c r="Y66" s="113"/>
      <c r="Z66" s="43"/>
      <c r="AA66" s="40"/>
      <c r="AB66" s="40"/>
      <c r="AC66" s="43"/>
      <c r="AD66" s="43"/>
      <c r="AE66" s="43"/>
      <c r="AF66" s="43"/>
      <c r="AG66" s="142">
        <v>44635</v>
      </c>
      <c r="AH66" s="142">
        <v>44635</v>
      </c>
      <c r="AI66" s="77">
        <v>44701</v>
      </c>
      <c r="AJ66" s="79">
        <v>44705</v>
      </c>
      <c r="AK66" s="79">
        <v>44705</v>
      </c>
      <c r="AL66" s="135" t="s">
        <v>31</v>
      </c>
      <c r="AM66" s="73">
        <v>261000</v>
      </c>
      <c r="AN66" s="96"/>
      <c r="AO66" s="96"/>
      <c r="AP66" s="73">
        <v>259093</v>
      </c>
      <c r="AQ66" s="44"/>
      <c r="AR66" s="114"/>
      <c r="AS66" s="98"/>
      <c r="AT66" s="98"/>
      <c r="AU66" s="98"/>
      <c r="AV66" s="98"/>
      <c r="AW66" s="98"/>
      <c r="AX66" s="98"/>
      <c r="AY66" s="98"/>
      <c r="AZ66" s="115"/>
    </row>
    <row r="67" spans="1:52" s="19" customFormat="1" ht="12.6" customHeight="1" x14ac:dyDescent="0.2">
      <c r="A67" s="72" t="s">
        <v>143</v>
      </c>
      <c r="B67" s="72" t="s">
        <v>128</v>
      </c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0"/>
      <c r="R67" s="40"/>
      <c r="S67" s="40"/>
      <c r="T67" s="73">
        <f>63500+20600</f>
        <v>84100</v>
      </c>
      <c r="U67" s="41"/>
      <c r="V67" s="145" t="s">
        <v>78</v>
      </c>
      <c r="W67" s="42"/>
      <c r="X67" s="2">
        <v>53.9</v>
      </c>
      <c r="Y67" s="113"/>
      <c r="Z67" s="43"/>
      <c r="AA67" s="40"/>
      <c r="AB67" s="40"/>
      <c r="AC67" s="43"/>
      <c r="AD67" s="43"/>
      <c r="AE67" s="43"/>
      <c r="AF67" s="43"/>
      <c r="AG67" s="75">
        <v>44726</v>
      </c>
      <c r="AH67" s="75">
        <v>44726</v>
      </c>
      <c r="AI67" s="77">
        <v>44754</v>
      </c>
      <c r="AJ67" s="79">
        <v>44761</v>
      </c>
      <c r="AK67" s="79">
        <v>44761</v>
      </c>
      <c r="AL67" s="135" t="s">
        <v>31</v>
      </c>
      <c r="AM67" s="73">
        <f>63500+20600</f>
        <v>84100</v>
      </c>
      <c r="AN67" s="96"/>
      <c r="AO67" s="96"/>
      <c r="AP67" s="73">
        <f>63374+20545</f>
        <v>83919</v>
      </c>
      <c r="AQ67" s="44"/>
      <c r="AR67" s="114"/>
      <c r="AS67" s="98"/>
      <c r="AT67" s="98"/>
      <c r="AU67" s="98"/>
      <c r="AV67" s="98"/>
      <c r="AW67" s="98"/>
      <c r="AX67" s="98"/>
      <c r="AY67" s="98"/>
      <c r="AZ67" s="115"/>
    </row>
    <row r="68" spans="1:52" s="19" customFormat="1" ht="12.6" customHeight="1" x14ac:dyDescent="0.2">
      <c r="A68" s="72" t="s">
        <v>139</v>
      </c>
      <c r="B68" s="72" t="s">
        <v>114</v>
      </c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0"/>
      <c r="R68" s="40"/>
      <c r="S68" s="40"/>
      <c r="T68" s="73">
        <v>102500</v>
      </c>
      <c r="U68" s="41"/>
      <c r="V68" s="145" t="s">
        <v>93</v>
      </c>
      <c r="W68" s="42"/>
      <c r="X68" s="2">
        <v>53.9</v>
      </c>
      <c r="Y68" s="113"/>
      <c r="Z68" s="43"/>
      <c r="AA68" s="40"/>
      <c r="AB68" s="40"/>
      <c r="AC68" s="43"/>
      <c r="AD68" s="43"/>
      <c r="AE68" s="43"/>
      <c r="AF68" s="43"/>
      <c r="AG68" s="142">
        <v>44607</v>
      </c>
      <c r="AH68" s="142">
        <v>44607</v>
      </c>
      <c r="AI68" s="77">
        <v>44672</v>
      </c>
      <c r="AJ68" s="79">
        <v>44680</v>
      </c>
      <c r="AK68" s="79">
        <v>44680</v>
      </c>
      <c r="AL68" s="135" t="s">
        <v>31</v>
      </c>
      <c r="AM68" s="73">
        <v>102500</v>
      </c>
      <c r="AN68" s="96"/>
      <c r="AO68" s="96"/>
      <c r="AP68" s="73">
        <v>101888</v>
      </c>
      <c r="AQ68" s="44"/>
      <c r="AR68" s="114"/>
      <c r="AS68" s="98"/>
      <c r="AT68" s="98"/>
      <c r="AU68" s="98"/>
      <c r="AV68" s="98"/>
      <c r="AW68" s="98"/>
      <c r="AX68" s="98"/>
      <c r="AY68" s="98"/>
      <c r="AZ68" s="115"/>
    </row>
    <row r="69" spans="1:52" s="19" customFormat="1" ht="12.6" customHeight="1" x14ac:dyDescent="0.2">
      <c r="A69" s="72" t="s">
        <v>147</v>
      </c>
      <c r="B69" s="72" t="s">
        <v>119</v>
      </c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0"/>
      <c r="R69" s="40"/>
      <c r="S69" s="40"/>
      <c r="T69" s="73">
        <v>26000</v>
      </c>
      <c r="U69" s="41"/>
      <c r="V69" s="145" t="s">
        <v>104</v>
      </c>
      <c r="W69" s="42"/>
      <c r="X69" s="2">
        <v>53.9</v>
      </c>
      <c r="Y69" s="113"/>
      <c r="Z69" s="43"/>
      <c r="AA69" s="40"/>
      <c r="AB69" s="40"/>
      <c r="AC69" s="43"/>
      <c r="AD69" s="43"/>
      <c r="AE69" s="43"/>
      <c r="AF69" s="43"/>
      <c r="AG69" s="142">
        <v>44645</v>
      </c>
      <c r="AH69" s="142">
        <v>44645</v>
      </c>
      <c r="AI69" s="77">
        <v>44672</v>
      </c>
      <c r="AJ69" s="79">
        <v>44680</v>
      </c>
      <c r="AK69" s="79">
        <v>44680</v>
      </c>
      <c r="AL69" s="135" t="s">
        <v>31</v>
      </c>
      <c r="AM69" s="73">
        <v>26000</v>
      </c>
      <c r="AN69" s="96"/>
      <c r="AO69" s="96"/>
      <c r="AP69" s="73">
        <f>4920+20874</f>
        <v>25794</v>
      </c>
      <c r="AQ69" s="44"/>
      <c r="AR69" s="114"/>
      <c r="AS69" s="98"/>
      <c r="AT69" s="98"/>
      <c r="AU69" s="98"/>
      <c r="AV69" s="98"/>
      <c r="AW69" s="98"/>
      <c r="AX69" s="98"/>
      <c r="AY69" s="98"/>
      <c r="AZ69" s="115"/>
    </row>
    <row r="70" spans="1:52" s="19" customFormat="1" ht="12.6" customHeight="1" x14ac:dyDescent="0.2">
      <c r="A70" s="72" t="s">
        <v>147</v>
      </c>
      <c r="B70" s="72" t="s">
        <v>119</v>
      </c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0"/>
      <c r="R70" s="40"/>
      <c r="S70" s="40"/>
      <c r="T70" s="73">
        <v>10000</v>
      </c>
      <c r="U70" s="41"/>
      <c r="V70" s="145" t="s">
        <v>79</v>
      </c>
      <c r="W70" s="42"/>
      <c r="X70" s="2">
        <v>53.9</v>
      </c>
      <c r="Y70" s="113"/>
      <c r="Z70" s="43"/>
      <c r="AA70" s="40"/>
      <c r="AB70" s="40"/>
      <c r="AC70" s="43"/>
      <c r="AD70" s="43"/>
      <c r="AE70" s="43"/>
      <c r="AF70" s="43"/>
      <c r="AG70" s="75">
        <v>44700</v>
      </c>
      <c r="AH70" s="75">
        <v>44700</v>
      </c>
      <c r="AI70" s="77">
        <v>44721</v>
      </c>
      <c r="AJ70" s="79">
        <v>44728</v>
      </c>
      <c r="AK70" s="79">
        <v>44728</v>
      </c>
      <c r="AL70" s="135" t="s">
        <v>31</v>
      </c>
      <c r="AM70" s="73">
        <v>10000</v>
      </c>
      <c r="AN70" s="96"/>
      <c r="AO70" s="96"/>
      <c r="AP70" s="73">
        <v>9940</v>
      </c>
      <c r="AQ70" s="44"/>
      <c r="AR70" s="114"/>
      <c r="AS70" s="98"/>
      <c r="AT70" s="98"/>
      <c r="AU70" s="98"/>
      <c r="AV70" s="98"/>
      <c r="AW70" s="98"/>
      <c r="AX70" s="98"/>
      <c r="AY70" s="98"/>
      <c r="AZ70" s="115"/>
    </row>
    <row r="71" spans="1:52" s="19" customFormat="1" ht="12.6" customHeight="1" x14ac:dyDescent="0.2">
      <c r="A71" s="72" t="s">
        <v>139</v>
      </c>
      <c r="B71" s="72" t="s">
        <v>114</v>
      </c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0"/>
      <c r="R71" s="40"/>
      <c r="S71" s="40"/>
      <c r="T71" s="73">
        <v>25000</v>
      </c>
      <c r="U71" s="41"/>
      <c r="V71" s="145" t="s">
        <v>78</v>
      </c>
      <c r="W71" s="42"/>
      <c r="X71" s="2">
        <v>53.9</v>
      </c>
      <c r="Y71" s="113"/>
      <c r="Z71" s="43"/>
      <c r="AA71" s="40"/>
      <c r="AB71" s="40"/>
      <c r="AC71" s="43"/>
      <c r="AD71" s="43"/>
      <c r="AE71" s="43"/>
      <c r="AF71" s="43"/>
      <c r="AG71" s="76">
        <v>44720</v>
      </c>
      <c r="AH71" s="76">
        <v>44720</v>
      </c>
      <c r="AI71" s="77">
        <v>44747</v>
      </c>
      <c r="AJ71" s="79">
        <v>44753</v>
      </c>
      <c r="AK71" s="79">
        <v>44753</v>
      </c>
      <c r="AL71" s="135" t="s">
        <v>31</v>
      </c>
      <c r="AM71" s="73">
        <v>25000</v>
      </c>
      <c r="AN71" s="96"/>
      <c r="AO71" s="96"/>
      <c r="AP71" s="73">
        <v>24820</v>
      </c>
      <c r="AQ71" s="44"/>
      <c r="AR71" s="114"/>
      <c r="AS71" s="98"/>
      <c r="AT71" s="98"/>
      <c r="AU71" s="98"/>
      <c r="AV71" s="98"/>
      <c r="AW71" s="98"/>
      <c r="AX71" s="98"/>
      <c r="AY71" s="98"/>
      <c r="AZ71" s="115"/>
    </row>
    <row r="72" spans="1:52" s="19" customFormat="1" ht="12.6" customHeight="1" x14ac:dyDescent="0.2">
      <c r="A72" s="72" t="s">
        <v>139</v>
      </c>
      <c r="B72" s="72" t="s">
        <v>114</v>
      </c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0"/>
      <c r="R72" s="40"/>
      <c r="S72" s="40"/>
      <c r="T72" s="73">
        <v>61100</v>
      </c>
      <c r="U72" s="41"/>
      <c r="V72" s="145" t="s">
        <v>95</v>
      </c>
      <c r="W72" s="42"/>
      <c r="X72" s="2">
        <v>53.9</v>
      </c>
      <c r="Y72" s="113"/>
      <c r="Z72" s="43"/>
      <c r="AA72" s="40"/>
      <c r="AB72" s="40"/>
      <c r="AC72" s="43"/>
      <c r="AD72" s="43"/>
      <c r="AE72" s="43"/>
      <c r="AF72" s="43"/>
      <c r="AG72" s="75">
        <v>44711</v>
      </c>
      <c r="AH72" s="75">
        <v>44711</v>
      </c>
      <c r="AI72" s="77">
        <v>44747</v>
      </c>
      <c r="AJ72" s="79">
        <v>44754</v>
      </c>
      <c r="AK72" s="79">
        <v>44754</v>
      </c>
      <c r="AL72" s="135" t="s">
        <v>31</v>
      </c>
      <c r="AM72" s="73">
        <v>61100</v>
      </c>
      <c r="AN72" s="96"/>
      <c r="AO72" s="96"/>
      <c r="AP72" s="73">
        <v>60870</v>
      </c>
      <c r="AQ72" s="44"/>
      <c r="AR72" s="114"/>
      <c r="AS72" s="98"/>
      <c r="AT72" s="98"/>
      <c r="AU72" s="98"/>
      <c r="AV72" s="98"/>
      <c r="AW72" s="98"/>
      <c r="AX72" s="98"/>
      <c r="AY72" s="98"/>
      <c r="AZ72" s="115"/>
    </row>
    <row r="73" spans="1:52" s="19" customFormat="1" ht="12.6" customHeight="1" x14ac:dyDescent="0.2">
      <c r="A73" s="72" t="s">
        <v>137</v>
      </c>
      <c r="B73" s="72" t="s">
        <v>112</v>
      </c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0"/>
      <c r="R73" s="40"/>
      <c r="S73" s="40"/>
      <c r="T73" s="73">
        <v>145000</v>
      </c>
      <c r="U73" s="41"/>
      <c r="V73" s="145" t="s">
        <v>91</v>
      </c>
      <c r="W73" s="42"/>
      <c r="X73" s="2">
        <v>53.9</v>
      </c>
      <c r="Y73" s="113"/>
      <c r="Z73" s="43"/>
      <c r="AA73" s="40"/>
      <c r="AB73" s="40"/>
      <c r="AC73" s="43"/>
      <c r="AD73" s="43"/>
      <c r="AE73" s="43"/>
      <c r="AF73" s="43"/>
      <c r="AG73" s="76">
        <v>44691</v>
      </c>
      <c r="AH73" s="76">
        <v>44691</v>
      </c>
      <c r="AI73" s="77">
        <v>44727</v>
      </c>
      <c r="AJ73" s="79">
        <v>44733</v>
      </c>
      <c r="AK73" s="79">
        <v>44733</v>
      </c>
      <c r="AL73" s="135" t="s">
        <v>31</v>
      </c>
      <c r="AM73" s="73">
        <v>145000</v>
      </c>
      <c r="AN73" s="96"/>
      <c r="AO73" s="96"/>
      <c r="AP73" s="73">
        <v>144130</v>
      </c>
      <c r="AQ73" s="44"/>
      <c r="AR73" s="114"/>
      <c r="AS73" s="98"/>
      <c r="AT73" s="98"/>
      <c r="AU73" s="98"/>
      <c r="AV73" s="98"/>
      <c r="AW73" s="98"/>
      <c r="AX73" s="98"/>
      <c r="AY73" s="98"/>
      <c r="AZ73" s="115"/>
    </row>
    <row r="74" spans="1:52" s="19" customFormat="1" ht="12.6" customHeight="1" x14ac:dyDescent="0.2">
      <c r="A74" s="72" t="s">
        <v>144</v>
      </c>
      <c r="B74" s="72" t="s">
        <v>126</v>
      </c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0"/>
      <c r="R74" s="40"/>
      <c r="S74" s="40"/>
      <c r="T74" s="73">
        <v>80000</v>
      </c>
      <c r="U74" s="41"/>
      <c r="V74" s="145" t="s">
        <v>100</v>
      </c>
      <c r="W74" s="42"/>
      <c r="X74" s="2">
        <v>53.9</v>
      </c>
      <c r="Y74" s="113"/>
      <c r="Z74" s="43"/>
      <c r="AA74" s="40"/>
      <c r="AB74" s="40"/>
      <c r="AC74" s="43"/>
      <c r="AD74" s="43"/>
      <c r="AE74" s="43"/>
      <c r="AF74" s="43"/>
      <c r="AG74" s="142">
        <v>44606</v>
      </c>
      <c r="AH74" s="142">
        <v>44606</v>
      </c>
      <c r="AI74" s="77">
        <v>44727</v>
      </c>
      <c r="AJ74" s="79">
        <v>44733</v>
      </c>
      <c r="AK74" s="79">
        <v>44733</v>
      </c>
      <c r="AL74" s="135" t="s">
        <v>31</v>
      </c>
      <c r="AM74" s="73">
        <v>80000</v>
      </c>
      <c r="AN74" s="96"/>
      <c r="AO74" s="96"/>
      <c r="AP74" s="73">
        <v>79800</v>
      </c>
      <c r="AQ74" s="44"/>
      <c r="AR74" s="114"/>
      <c r="AS74" s="98"/>
      <c r="AT74" s="98"/>
      <c r="AU74" s="98"/>
      <c r="AV74" s="98"/>
      <c r="AW74" s="98"/>
      <c r="AX74" s="98"/>
      <c r="AY74" s="98"/>
      <c r="AZ74" s="115"/>
    </row>
    <row r="75" spans="1:52" s="19" customFormat="1" ht="12.6" customHeight="1" x14ac:dyDescent="0.2">
      <c r="A75" s="72" t="s">
        <v>138</v>
      </c>
      <c r="B75" s="72" t="s">
        <v>125</v>
      </c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0"/>
      <c r="R75" s="40"/>
      <c r="S75" s="40"/>
      <c r="T75" s="73">
        <f>70000+20500+51500+80000</f>
        <v>222000</v>
      </c>
      <c r="U75" s="41"/>
      <c r="V75" s="145" t="s">
        <v>98</v>
      </c>
      <c r="W75" s="42"/>
      <c r="X75" s="2">
        <v>53.9</v>
      </c>
      <c r="Y75" s="113"/>
      <c r="Z75" s="43"/>
      <c r="AA75" s="40"/>
      <c r="AB75" s="40"/>
      <c r="AC75" s="43"/>
      <c r="AD75" s="43"/>
      <c r="AE75" s="43"/>
      <c r="AF75" s="43"/>
      <c r="AG75" s="75">
        <v>44656</v>
      </c>
      <c r="AH75" s="75">
        <v>44656</v>
      </c>
      <c r="AI75" s="77">
        <v>44753</v>
      </c>
      <c r="AJ75" s="79">
        <v>44760</v>
      </c>
      <c r="AK75" s="79">
        <v>44760</v>
      </c>
      <c r="AL75" s="135" t="s">
        <v>31</v>
      </c>
      <c r="AM75" s="73">
        <f>70000+20500+51500+80000</f>
        <v>222000</v>
      </c>
      <c r="AN75" s="96"/>
      <c r="AO75" s="96"/>
      <c r="AP75" s="73">
        <v>219985</v>
      </c>
      <c r="AQ75" s="44"/>
      <c r="AR75" s="114"/>
      <c r="AS75" s="98"/>
      <c r="AT75" s="98"/>
      <c r="AU75" s="98"/>
      <c r="AV75" s="98"/>
      <c r="AW75" s="98"/>
      <c r="AX75" s="98"/>
      <c r="AY75" s="98"/>
      <c r="AZ75" s="115"/>
    </row>
    <row r="76" spans="1:52" s="19" customFormat="1" ht="12.6" customHeight="1" x14ac:dyDescent="0.2">
      <c r="A76" s="72" t="s">
        <v>147</v>
      </c>
      <c r="B76" s="72" t="s">
        <v>119</v>
      </c>
      <c r="C76" s="40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0"/>
      <c r="R76" s="40"/>
      <c r="S76" s="40"/>
      <c r="T76" s="73">
        <f>9500+22250+3000+8000</f>
        <v>42750</v>
      </c>
      <c r="U76" s="41"/>
      <c r="V76" s="145" t="s">
        <v>78</v>
      </c>
      <c r="W76" s="42"/>
      <c r="X76" s="2">
        <v>53.9</v>
      </c>
      <c r="Y76" s="113"/>
      <c r="Z76" s="43"/>
      <c r="AA76" s="40"/>
      <c r="AB76" s="40"/>
      <c r="AC76" s="43"/>
      <c r="AD76" s="43"/>
      <c r="AE76" s="43"/>
      <c r="AF76" s="43"/>
      <c r="AG76" s="75">
        <v>44720</v>
      </c>
      <c r="AH76" s="75">
        <v>44720</v>
      </c>
      <c r="AI76" s="77">
        <v>44747</v>
      </c>
      <c r="AJ76" s="79">
        <v>44753</v>
      </c>
      <c r="AK76" s="79">
        <v>44753</v>
      </c>
      <c r="AL76" s="135" t="s">
        <v>31</v>
      </c>
      <c r="AM76" s="73">
        <f>9500+22250+3000+8000</f>
        <v>42750</v>
      </c>
      <c r="AN76" s="96"/>
      <c r="AO76" s="96"/>
      <c r="AP76" s="73">
        <v>42370</v>
      </c>
      <c r="AQ76" s="44"/>
      <c r="AR76" s="114"/>
      <c r="AS76" s="98"/>
      <c r="AT76" s="98"/>
      <c r="AU76" s="98"/>
      <c r="AV76" s="98"/>
      <c r="AW76" s="98"/>
      <c r="AX76" s="98"/>
      <c r="AY76" s="98"/>
      <c r="AZ76" s="115"/>
    </row>
    <row r="77" spans="1:52" s="19" customFormat="1" ht="12.6" customHeight="1" x14ac:dyDescent="0.2">
      <c r="A77" s="72" t="s">
        <v>141</v>
      </c>
      <c r="B77" s="146" t="s">
        <v>130</v>
      </c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0"/>
      <c r="R77" s="40"/>
      <c r="S77" s="40"/>
      <c r="T77" s="73">
        <v>37500</v>
      </c>
      <c r="U77" s="41"/>
      <c r="V77" s="145" t="s">
        <v>101</v>
      </c>
      <c r="W77" s="42"/>
      <c r="X77" s="2">
        <v>53.9</v>
      </c>
      <c r="Y77" s="113"/>
      <c r="Z77" s="43"/>
      <c r="AA77" s="40"/>
      <c r="AB77" s="40"/>
      <c r="AC77" s="43"/>
      <c r="AD77" s="43"/>
      <c r="AE77" s="43"/>
      <c r="AF77" s="43"/>
      <c r="AG77" s="75">
        <v>44687</v>
      </c>
      <c r="AH77" s="75">
        <v>44687</v>
      </c>
      <c r="AI77" s="77">
        <v>44726</v>
      </c>
      <c r="AJ77" s="79">
        <v>44733</v>
      </c>
      <c r="AK77" s="79">
        <v>44733</v>
      </c>
      <c r="AL77" s="135" t="s">
        <v>31</v>
      </c>
      <c r="AM77" s="73">
        <v>37500</v>
      </c>
      <c r="AN77" s="96"/>
      <c r="AO77" s="96"/>
      <c r="AP77" s="73">
        <v>36527</v>
      </c>
      <c r="AQ77" s="44"/>
      <c r="AR77" s="114"/>
      <c r="AS77" s="98"/>
      <c r="AT77" s="98"/>
      <c r="AU77" s="98"/>
      <c r="AV77" s="98"/>
      <c r="AW77" s="98"/>
      <c r="AX77" s="98"/>
      <c r="AY77" s="98"/>
      <c r="AZ77" s="115"/>
    </row>
    <row r="78" spans="1:52" s="19" customFormat="1" ht="12.6" customHeight="1" x14ac:dyDescent="0.2">
      <c r="A78" s="72" t="s">
        <v>143</v>
      </c>
      <c r="B78" s="72" t="s">
        <v>128</v>
      </c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0"/>
      <c r="R78" s="40"/>
      <c r="S78" s="40"/>
      <c r="T78" s="73">
        <f>36500+6000+30000+80000</f>
        <v>152500</v>
      </c>
      <c r="U78" s="41"/>
      <c r="V78" s="145" t="s">
        <v>91</v>
      </c>
      <c r="W78" s="42"/>
      <c r="X78" s="2">
        <v>53.9</v>
      </c>
      <c r="Y78" s="113"/>
      <c r="Z78" s="43"/>
      <c r="AA78" s="40"/>
      <c r="AB78" s="40"/>
      <c r="AC78" s="43"/>
      <c r="AD78" s="43"/>
      <c r="AE78" s="43"/>
      <c r="AF78" s="43"/>
      <c r="AG78" s="75">
        <v>44658</v>
      </c>
      <c r="AH78" s="75">
        <v>44658</v>
      </c>
      <c r="AI78" s="77">
        <v>44720</v>
      </c>
      <c r="AJ78" s="79">
        <v>44727</v>
      </c>
      <c r="AK78" s="79">
        <v>44727</v>
      </c>
      <c r="AL78" s="135" t="s">
        <v>31</v>
      </c>
      <c r="AM78" s="73">
        <f>36500+6000+30000+80000</f>
        <v>152500</v>
      </c>
      <c r="AN78" s="96"/>
      <c r="AO78" s="96"/>
      <c r="AP78" s="73">
        <v>151646</v>
      </c>
      <c r="AQ78" s="44"/>
      <c r="AR78" s="114"/>
      <c r="AS78" s="98"/>
      <c r="AT78" s="98"/>
      <c r="AU78" s="98"/>
      <c r="AV78" s="98"/>
      <c r="AW78" s="98"/>
      <c r="AX78" s="98"/>
      <c r="AY78" s="98"/>
      <c r="AZ78" s="115"/>
    </row>
    <row r="79" spans="1:52" s="19" customFormat="1" ht="12.6" customHeight="1" x14ac:dyDescent="0.2">
      <c r="A79" s="72" t="s">
        <v>142</v>
      </c>
      <c r="B79" s="72" t="s">
        <v>116</v>
      </c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0"/>
      <c r="R79" s="40"/>
      <c r="S79" s="40"/>
      <c r="T79" s="73">
        <f>37400+13100</f>
        <v>50500</v>
      </c>
      <c r="U79" s="41"/>
      <c r="V79" s="145" t="s">
        <v>105</v>
      </c>
      <c r="W79" s="42"/>
      <c r="X79" s="2">
        <v>53.9</v>
      </c>
      <c r="Y79" s="113"/>
      <c r="Z79" s="43"/>
      <c r="AA79" s="40"/>
      <c r="AB79" s="40"/>
      <c r="AC79" s="43"/>
      <c r="AD79" s="43"/>
      <c r="AE79" s="43"/>
      <c r="AF79" s="43"/>
      <c r="AG79" s="76">
        <v>44663</v>
      </c>
      <c r="AH79" s="76">
        <v>44663</v>
      </c>
      <c r="AI79" s="77">
        <v>44720</v>
      </c>
      <c r="AJ79" s="79">
        <v>44727</v>
      </c>
      <c r="AK79" s="79">
        <v>44727</v>
      </c>
      <c r="AL79" s="135" t="s">
        <v>31</v>
      </c>
      <c r="AM79" s="73">
        <f>37400+13100</f>
        <v>50500</v>
      </c>
      <c r="AN79" s="96"/>
      <c r="AO79" s="96"/>
      <c r="AP79" s="73">
        <v>50347</v>
      </c>
      <c r="AQ79" s="44"/>
      <c r="AR79" s="114"/>
      <c r="AS79" s="98"/>
      <c r="AT79" s="98"/>
      <c r="AU79" s="98"/>
      <c r="AV79" s="98"/>
      <c r="AW79" s="98"/>
      <c r="AX79" s="98"/>
      <c r="AY79" s="98"/>
      <c r="AZ79" s="115"/>
    </row>
    <row r="80" spans="1:52" s="19" customFormat="1" ht="12.6" customHeight="1" x14ac:dyDescent="0.2">
      <c r="A80" s="72" t="s">
        <v>139</v>
      </c>
      <c r="B80" s="72" t="s">
        <v>114</v>
      </c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0"/>
      <c r="R80" s="40"/>
      <c r="S80" s="40"/>
      <c r="T80" s="73">
        <v>101750</v>
      </c>
      <c r="U80" s="41"/>
      <c r="V80" s="145" t="s">
        <v>98</v>
      </c>
      <c r="W80" s="42"/>
      <c r="X80" s="2">
        <v>53.9</v>
      </c>
      <c r="Y80" s="113"/>
      <c r="Z80" s="43"/>
      <c r="AA80" s="40"/>
      <c r="AB80" s="40"/>
      <c r="AC80" s="43"/>
      <c r="AD80" s="43"/>
      <c r="AE80" s="43"/>
      <c r="AF80" s="43"/>
      <c r="AG80" s="75">
        <v>44687</v>
      </c>
      <c r="AH80" s="75">
        <v>44687</v>
      </c>
      <c r="AI80" s="77">
        <v>44707</v>
      </c>
      <c r="AJ80" s="79">
        <v>44714</v>
      </c>
      <c r="AK80" s="79">
        <v>44714</v>
      </c>
      <c r="AL80" s="135" t="s">
        <v>31</v>
      </c>
      <c r="AM80" s="73">
        <v>101750</v>
      </c>
      <c r="AN80" s="96"/>
      <c r="AO80" s="96"/>
      <c r="AP80" s="73">
        <v>101305</v>
      </c>
      <c r="AQ80" s="44"/>
      <c r="AR80" s="114"/>
      <c r="AS80" s="98"/>
      <c r="AT80" s="98"/>
      <c r="AU80" s="98"/>
      <c r="AV80" s="98"/>
      <c r="AW80" s="98"/>
      <c r="AX80" s="98"/>
      <c r="AY80" s="98"/>
      <c r="AZ80" s="115"/>
    </row>
    <row r="81" spans="1:52" s="19" customFormat="1" ht="12.6" customHeight="1" x14ac:dyDescent="0.2">
      <c r="A81" s="72" t="s">
        <v>141</v>
      </c>
      <c r="B81" s="72" t="s">
        <v>130</v>
      </c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0"/>
      <c r="R81" s="40"/>
      <c r="S81" s="40"/>
      <c r="T81" s="73">
        <v>98000</v>
      </c>
      <c r="U81" s="41"/>
      <c r="V81" s="145" t="s">
        <v>93</v>
      </c>
      <c r="W81" s="42"/>
      <c r="X81" s="2">
        <v>53.9</v>
      </c>
      <c r="Y81" s="113"/>
      <c r="Z81" s="43"/>
      <c r="AA81" s="40"/>
      <c r="AB81" s="40"/>
      <c r="AC81" s="43"/>
      <c r="AD81" s="43"/>
      <c r="AE81" s="43"/>
      <c r="AF81" s="43"/>
      <c r="AG81" s="76">
        <v>44658</v>
      </c>
      <c r="AH81" s="76">
        <v>44658</v>
      </c>
      <c r="AI81" s="77">
        <v>44707</v>
      </c>
      <c r="AJ81" s="79">
        <v>44714</v>
      </c>
      <c r="AK81" s="79">
        <v>44714</v>
      </c>
      <c r="AL81" s="135" t="s">
        <v>31</v>
      </c>
      <c r="AM81" s="73">
        <v>98000</v>
      </c>
      <c r="AN81" s="96"/>
      <c r="AO81" s="96"/>
      <c r="AP81" s="73">
        <v>97397</v>
      </c>
      <c r="AQ81" s="44"/>
      <c r="AR81" s="114"/>
      <c r="AS81" s="98"/>
      <c r="AT81" s="98"/>
      <c r="AU81" s="98"/>
      <c r="AV81" s="98"/>
      <c r="AW81" s="98"/>
      <c r="AX81" s="98"/>
      <c r="AY81" s="98"/>
      <c r="AZ81" s="115"/>
    </row>
    <row r="82" spans="1:52" s="19" customFormat="1" ht="12.6" customHeight="1" x14ac:dyDescent="0.2">
      <c r="A82" s="72" t="s">
        <v>139</v>
      </c>
      <c r="B82" s="72" t="s">
        <v>114</v>
      </c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0"/>
      <c r="R82" s="40"/>
      <c r="S82" s="40"/>
      <c r="T82" s="73">
        <v>102500</v>
      </c>
      <c r="U82" s="41"/>
      <c r="V82" s="72" t="s">
        <v>93</v>
      </c>
      <c r="W82" s="42"/>
      <c r="X82" s="2">
        <v>53.9</v>
      </c>
      <c r="Y82" s="113"/>
      <c r="Z82" s="43"/>
      <c r="AA82" s="40"/>
      <c r="AB82" s="40"/>
      <c r="AC82" s="43"/>
      <c r="AD82" s="43"/>
      <c r="AE82" s="43"/>
      <c r="AF82" s="43"/>
      <c r="AG82" s="75">
        <v>44671</v>
      </c>
      <c r="AH82" s="75">
        <v>44671</v>
      </c>
      <c r="AI82" s="77">
        <v>44726</v>
      </c>
      <c r="AJ82" s="79">
        <v>44733</v>
      </c>
      <c r="AK82" s="79">
        <v>44733</v>
      </c>
      <c r="AL82" s="135" t="s">
        <v>31</v>
      </c>
      <c r="AM82" s="73">
        <v>102500</v>
      </c>
      <c r="AN82" s="96"/>
      <c r="AO82" s="96"/>
      <c r="AP82" s="73">
        <v>101888</v>
      </c>
      <c r="AQ82" s="44"/>
      <c r="AR82" s="114"/>
      <c r="AS82" s="98"/>
      <c r="AT82" s="98"/>
      <c r="AU82" s="98"/>
      <c r="AV82" s="98"/>
      <c r="AW82" s="98"/>
      <c r="AX82" s="98"/>
      <c r="AY82" s="98"/>
      <c r="AZ82" s="115"/>
    </row>
    <row r="83" spans="1:52" s="19" customFormat="1" ht="12.6" customHeight="1" x14ac:dyDescent="0.2">
      <c r="A83" s="72" t="s">
        <v>138</v>
      </c>
      <c r="B83" s="72" t="s">
        <v>125</v>
      </c>
      <c r="C83" s="40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0"/>
      <c r="R83" s="40"/>
      <c r="S83" s="40"/>
      <c r="T83" s="73">
        <v>70000</v>
      </c>
      <c r="U83" s="41"/>
      <c r="V83" s="72" t="s">
        <v>93</v>
      </c>
      <c r="W83" s="42"/>
      <c r="X83" s="2">
        <v>53.9</v>
      </c>
      <c r="Y83" s="113"/>
      <c r="Z83" s="43"/>
      <c r="AA83" s="40"/>
      <c r="AB83" s="40"/>
      <c r="AC83" s="43"/>
      <c r="AD83" s="43"/>
      <c r="AE83" s="43"/>
      <c r="AF83" s="43"/>
      <c r="AG83" s="76">
        <v>44726</v>
      </c>
      <c r="AH83" s="76">
        <v>44726</v>
      </c>
      <c r="AI83" s="77">
        <v>44753</v>
      </c>
      <c r="AJ83" s="79">
        <v>44760</v>
      </c>
      <c r="AK83" s="79">
        <v>44760</v>
      </c>
      <c r="AL83" s="135" t="s">
        <v>31</v>
      </c>
      <c r="AM83" s="73">
        <v>70000</v>
      </c>
      <c r="AN83" s="96"/>
      <c r="AO83" s="96"/>
      <c r="AP83" s="73">
        <v>69416</v>
      </c>
      <c r="AQ83" s="44"/>
      <c r="AR83" s="114"/>
      <c r="AS83" s="98"/>
      <c r="AT83" s="98"/>
      <c r="AU83" s="98"/>
      <c r="AV83" s="98"/>
      <c r="AW83" s="98"/>
      <c r="AX83" s="98"/>
      <c r="AY83" s="98"/>
      <c r="AZ83" s="115"/>
    </row>
    <row r="84" spans="1:52" s="19" customFormat="1" ht="12.6" customHeight="1" x14ac:dyDescent="0.2">
      <c r="A84" s="72" t="s">
        <v>141</v>
      </c>
      <c r="B84" s="72" t="s">
        <v>130</v>
      </c>
      <c r="C84" s="40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0"/>
      <c r="R84" s="40"/>
      <c r="S84" s="40"/>
      <c r="T84" s="73">
        <v>70000</v>
      </c>
      <c r="U84" s="41"/>
      <c r="V84" s="145" t="s">
        <v>78</v>
      </c>
      <c r="W84" s="42"/>
      <c r="X84" s="2">
        <v>53.9</v>
      </c>
      <c r="Y84" s="113"/>
      <c r="Z84" s="43"/>
      <c r="AA84" s="40"/>
      <c r="AB84" s="40"/>
      <c r="AC84" s="43"/>
      <c r="AD84" s="43"/>
      <c r="AE84" s="43"/>
      <c r="AF84" s="43"/>
      <c r="AG84" s="75">
        <v>44735</v>
      </c>
      <c r="AH84" s="75">
        <v>44735</v>
      </c>
      <c r="AI84" s="77">
        <v>44753</v>
      </c>
      <c r="AJ84" s="79">
        <v>44760</v>
      </c>
      <c r="AK84" s="79">
        <v>44760</v>
      </c>
      <c r="AL84" s="135" t="s">
        <v>31</v>
      </c>
      <c r="AM84" s="73">
        <v>70000</v>
      </c>
      <c r="AN84" s="96"/>
      <c r="AO84" s="96"/>
      <c r="AP84" s="73">
        <v>69550</v>
      </c>
      <c r="AQ84" s="44"/>
      <c r="AR84" s="114"/>
      <c r="AS84" s="98"/>
      <c r="AT84" s="98"/>
      <c r="AU84" s="98"/>
      <c r="AV84" s="98"/>
      <c r="AW84" s="98"/>
      <c r="AX84" s="98"/>
      <c r="AY84" s="98"/>
      <c r="AZ84" s="115"/>
    </row>
    <row r="85" spans="1:52" s="19" customFormat="1" ht="12.6" customHeight="1" x14ac:dyDescent="0.2">
      <c r="A85" s="72" t="s">
        <v>137</v>
      </c>
      <c r="B85" s="72" t="s">
        <v>112</v>
      </c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0"/>
      <c r="R85" s="40"/>
      <c r="S85" s="40"/>
      <c r="T85" s="73">
        <v>35000</v>
      </c>
      <c r="U85" s="41"/>
      <c r="V85" s="145" t="s">
        <v>81</v>
      </c>
      <c r="W85" s="42"/>
      <c r="X85" s="2">
        <v>53.9</v>
      </c>
      <c r="Y85" s="113"/>
      <c r="Z85" s="43"/>
      <c r="AA85" s="40"/>
      <c r="AB85" s="40"/>
      <c r="AC85" s="43"/>
      <c r="AD85" s="43"/>
      <c r="AE85" s="43"/>
      <c r="AF85" s="43"/>
      <c r="AG85" s="75">
        <v>44728</v>
      </c>
      <c r="AH85" s="75">
        <v>44728</v>
      </c>
      <c r="AI85" s="77">
        <v>44753</v>
      </c>
      <c r="AJ85" s="79">
        <v>44760</v>
      </c>
      <c r="AK85" s="79">
        <v>44760</v>
      </c>
      <c r="AL85" s="135" t="s">
        <v>31</v>
      </c>
      <c r="AM85" s="73">
        <v>35000</v>
      </c>
      <c r="AN85" s="96"/>
      <c r="AO85" s="96"/>
      <c r="AP85" s="73">
        <v>34702</v>
      </c>
      <c r="AQ85" s="44"/>
      <c r="AR85" s="114"/>
      <c r="AS85" s="98"/>
      <c r="AT85" s="98"/>
      <c r="AU85" s="98"/>
      <c r="AV85" s="98"/>
      <c r="AW85" s="98"/>
      <c r="AX85" s="98"/>
      <c r="AY85" s="98"/>
      <c r="AZ85" s="115"/>
    </row>
    <row r="86" spans="1:52" s="19" customFormat="1" ht="12.6" customHeight="1" x14ac:dyDescent="0.2">
      <c r="A86" s="72" t="s">
        <v>139</v>
      </c>
      <c r="B86" s="72" t="s">
        <v>114</v>
      </c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0"/>
      <c r="R86" s="40"/>
      <c r="S86" s="40"/>
      <c r="T86" s="73">
        <v>30237</v>
      </c>
      <c r="U86" s="41"/>
      <c r="V86" s="145" t="s">
        <v>87</v>
      </c>
      <c r="W86" s="42"/>
      <c r="X86" s="2">
        <v>53.9</v>
      </c>
      <c r="Y86" s="113"/>
      <c r="Z86" s="43"/>
      <c r="AA86" s="40"/>
      <c r="AB86" s="40"/>
      <c r="AC86" s="43"/>
      <c r="AD86" s="43"/>
      <c r="AE86" s="43"/>
      <c r="AF86" s="43"/>
      <c r="AG86" s="75">
        <v>44693</v>
      </c>
      <c r="AH86" s="75">
        <v>44693</v>
      </c>
      <c r="AI86" s="77">
        <v>44753</v>
      </c>
      <c r="AJ86" s="79">
        <v>44760</v>
      </c>
      <c r="AK86" s="79">
        <v>44760</v>
      </c>
      <c r="AL86" s="135" t="s">
        <v>31</v>
      </c>
      <c r="AM86" s="73">
        <v>30237</v>
      </c>
      <c r="AN86" s="96"/>
      <c r="AO86" s="96"/>
      <c r="AP86" s="73">
        <v>29513</v>
      </c>
      <c r="AQ86" s="44"/>
      <c r="AR86" s="114"/>
      <c r="AS86" s="98"/>
      <c r="AT86" s="98"/>
      <c r="AU86" s="98"/>
      <c r="AV86" s="98"/>
      <c r="AW86" s="98"/>
      <c r="AX86" s="98"/>
      <c r="AY86" s="98"/>
      <c r="AZ86" s="115"/>
    </row>
    <row r="87" spans="1:52" s="19" customFormat="1" ht="12.6" customHeight="1" x14ac:dyDescent="0.2">
      <c r="A87" s="72" t="s">
        <v>145</v>
      </c>
      <c r="B87" s="72" t="s">
        <v>118</v>
      </c>
      <c r="C87" s="40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0"/>
      <c r="R87" s="40"/>
      <c r="S87" s="40"/>
      <c r="T87" s="73">
        <v>145000</v>
      </c>
      <c r="U87" s="41"/>
      <c r="V87" s="145" t="s">
        <v>86</v>
      </c>
      <c r="W87" s="42"/>
      <c r="X87" s="2">
        <v>53.9</v>
      </c>
      <c r="Y87" s="113"/>
      <c r="Z87" s="43"/>
      <c r="AA87" s="40"/>
      <c r="AB87" s="40"/>
      <c r="AC87" s="43"/>
      <c r="AD87" s="43"/>
      <c r="AE87" s="43"/>
      <c r="AF87" s="43"/>
      <c r="AG87" s="142">
        <v>44607</v>
      </c>
      <c r="AH87" s="142">
        <v>44607</v>
      </c>
      <c r="AI87" s="77">
        <v>44753</v>
      </c>
      <c r="AJ87" s="79">
        <v>44760</v>
      </c>
      <c r="AK87" s="79">
        <v>44760</v>
      </c>
      <c r="AL87" s="135" t="s">
        <v>31</v>
      </c>
      <c r="AM87" s="73">
        <v>145000</v>
      </c>
      <c r="AN87" s="96"/>
      <c r="AO87" s="96"/>
      <c r="AP87" s="73">
        <v>144550</v>
      </c>
      <c r="AQ87" s="44"/>
      <c r="AR87" s="114"/>
      <c r="AS87" s="98"/>
      <c r="AT87" s="98"/>
      <c r="AU87" s="98"/>
      <c r="AV87" s="98"/>
      <c r="AW87" s="98"/>
      <c r="AX87" s="98"/>
      <c r="AY87" s="98"/>
      <c r="AZ87" s="115"/>
    </row>
    <row r="88" spans="1:52" s="19" customFormat="1" ht="12.6" customHeight="1" x14ac:dyDescent="0.2">
      <c r="A88" s="72" t="s">
        <v>142</v>
      </c>
      <c r="B88" s="72" t="s">
        <v>116</v>
      </c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0"/>
      <c r="R88" s="40"/>
      <c r="S88" s="40"/>
      <c r="T88" s="73">
        <v>5100</v>
      </c>
      <c r="U88" s="41"/>
      <c r="V88" s="145" t="s">
        <v>94</v>
      </c>
      <c r="W88" s="42"/>
      <c r="X88" s="2">
        <v>53.9</v>
      </c>
      <c r="Y88" s="113"/>
      <c r="Z88" s="43"/>
      <c r="AA88" s="40"/>
      <c r="AB88" s="40"/>
      <c r="AC88" s="43"/>
      <c r="AD88" s="43"/>
      <c r="AE88" s="43"/>
      <c r="AF88" s="43"/>
      <c r="AG88" s="75">
        <v>44735</v>
      </c>
      <c r="AH88" s="75">
        <v>44735</v>
      </c>
      <c r="AI88" s="77">
        <v>44756</v>
      </c>
      <c r="AJ88" s="79">
        <v>44763</v>
      </c>
      <c r="AK88" s="79">
        <v>44763</v>
      </c>
      <c r="AL88" s="135" t="s">
        <v>31</v>
      </c>
      <c r="AM88" s="73">
        <v>5100</v>
      </c>
      <c r="AN88" s="96"/>
      <c r="AO88" s="96"/>
      <c r="AP88" s="73">
        <v>5050</v>
      </c>
      <c r="AQ88" s="44"/>
      <c r="AR88" s="114"/>
      <c r="AS88" s="98"/>
      <c r="AT88" s="98"/>
      <c r="AU88" s="98"/>
      <c r="AV88" s="98"/>
      <c r="AW88" s="98"/>
      <c r="AX88" s="98"/>
      <c r="AY88" s="98"/>
      <c r="AZ88" s="115"/>
    </row>
    <row r="89" spans="1:52" s="19" customFormat="1" ht="12.6" customHeight="1" x14ac:dyDescent="0.2">
      <c r="A89" s="72" t="s">
        <v>141</v>
      </c>
      <c r="B89" s="72" t="s">
        <v>130</v>
      </c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0"/>
      <c r="R89" s="40"/>
      <c r="S89" s="40"/>
      <c r="T89" s="73">
        <v>50000</v>
      </c>
      <c r="U89" s="41"/>
      <c r="V89" s="145" t="s">
        <v>93</v>
      </c>
      <c r="W89" s="42"/>
      <c r="X89" s="2">
        <v>53.9</v>
      </c>
      <c r="Y89" s="113"/>
      <c r="Z89" s="43"/>
      <c r="AA89" s="40"/>
      <c r="AB89" s="40"/>
      <c r="AC89" s="43"/>
      <c r="AD89" s="43"/>
      <c r="AE89" s="43"/>
      <c r="AF89" s="43"/>
      <c r="AG89" s="75">
        <v>44726</v>
      </c>
      <c r="AH89" s="75">
        <v>44726</v>
      </c>
      <c r="AI89" s="77">
        <v>44753</v>
      </c>
      <c r="AJ89" s="79">
        <v>44757</v>
      </c>
      <c r="AK89" s="79">
        <v>44757</v>
      </c>
      <c r="AL89" s="135" t="s">
        <v>31</v>
      </c>
      <c r="AM89" s="73">
        <v>50000</v>
      </c>
      <c r="AN89" s="96"/>
      <c r="AO89" s="96"/>
      <c r="AP89" s="73">
        <v>49416</v>
      </c>
      <c r="AQ89" s="44"/>
      <c r="AR89" s="114"/>
      <c r="AS89" s="98"/>
      <c r="AT89" s="98"/>
      <c r="AU89" s="98"/>
      <c r="AV89" s="98"/>
      <c r="AW89" s="98"/>
      <c r="AX89" s="98"/>
      <c r="AY89" s="98"/>
      <c r="AZ89" s="115"/>
    </row>
    <row r="90" spans="1:52" s="19" customFormat="1" ht="12.6" customHeight="1" x14ac:dyDescent="0.2">
      <c r="A90" s="72" t="s">
        <v>145</v>
      </c>
      <c r="B90" s="72" t="s">
        <v>118</v>
      </c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0"/>
      <c r="R90" s="40"/>
      <c r="S90" s="40"/>
      <c r="T90" s="73">
        <v>153000</v>
      </c>
      <c r="U90" s="41"/>
      <c r="V90" s="145" t="s">
        <v>86</v>
      </c>
      <c r="W90" s="42"/>
      <c r="X90" s="2">
        <v>53.9</v>
      </c>
      <c r="Y90" s="113"/>
      <c r="Z90" s="43"/>
      <c r="AA90" s="40"/>
      <c r="AB90" s="40"/>
      <c r="AC90" s="43"/>
      <c r="AD90" s="43"/>
      <c r="AE90" s="43"/>
      <c r="AF90" s="43"/>
      <c r="AG90" s="76">
        <v>44726</v>
      </c>
      <c r="AH90" s="76">
        <v>44726</v>
      </c>
      <c r="AI90" s="77">
        <v>44753</v>
      </c>
      <c r="AJ90" s="79">
        <v>44757</v>
      </c>
      <c r="AK90" s="79">
        <v>44757</v>
      </c>
      <c r="AL90" s="135" t="s">
        <v>31</v>
      </c>
      <c r="AM90" s="73">
        <v>153000</v>
      </c>
      <c r="AN90" s="96"/>
      <c r="AO90" s="96"/>
      <c r="AP90" s="73">
        <v>152060</v>
      </c>
      <c r="AQ90" s="44"/>
      <c r="AR90" s="114"/>
      <c r="AS90" s="98"/>
      <c r="AT90" s="98"/>
      <c r="AU90" s="98"/>
      <c r="AV90" s="98"/>
      <c r="AW90" s="98"/>
      <c r="AX90" s="98"/>
      <c r="AY90" s="98"/>
      <c r="AZ90" s="115"/>
    </row>
    <row r="91" spans="1:52" s="19" customFormat="1" ht="12.6" customHeight="1" x14ac:dyDescent="0.2">
      <c r="A91" s="72" t="s">
        <v>138</v>
      </c>
      <c r="B91" s="72" t="s">
        <v>125</v>
      </c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0"/>
      <c r="R91" s="40"/>
      <c r="S91" s="40"/>
      <c r="T91" s="73">
        <v>70000</v>
      </c>
      <c r="U91" s="41"/>
      <c r="V91" s="145" t="s">
        <v>93</v>
      </c>
      <c r="W91" s="42"/>
      <c r="X91" s="2">
        <v>53.9</v>
      </c>
      <c r="Y91" s="113"/>
      <c r="Z91" s="43"/>
      <c r="AA91" s="40"/>
      <c r="AB91" s="40"/>
      <c r="AC91" s="43"/>
      <c r="AD91" s="43"/>
      <c r="AE91" s="43"/>
      <c r="AF91" s="43"/>
      <c r="AG91" s="75">
        <v>44684</v>
      </c>
      <c r="AH91" s="75">
        <v>44684</v>
      </c>
      <c r="AI91" s="77">
        <v>44753</v>
      </c>
      <c r="AJ91" s="79">
        <v>44757</v>
      </c>
      <c r="AK91" s="79">
        <v>44757</v>
      </c>
      <c r="AL91" s="135" t="s">
        <v>31</v>
      </c>
      <c r="AM91" s="73">
        <v>70000</v>
      </c>
      <c r="AN91" s="96"/>
      <c r="AO91" s="96"/>
      <c r="AP91" s="73">
        <v>69133.5</v>
      </c>
      <c r="AQ91" s="44"/>
      <c r="AR91" s="114"/>
      <c r="AS91" s="98"/>
      <c r="AT91" s="98"/>
      <c r="AU91" s="98"/>
      <c r="AV91" s="98"/>
      <c r="AW91" s="98"/>
      <c r="AX91" s="98"/>
      <c r="AY91" s="98"/>
      <c r="AZ91" s="115"/>
    </row>
    <row r="92" spans="1:52" s="19" customFormat="1" ht="12.6" customHeight="1" x14ac:dyDescent="0.2">
      <c r="A92" s="72" t="s">
        <v>138</v>
      </c>
      <c r="B92" s="72" t="s">
        <v>125</v>
      </c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0"/>
      <c r="R92" s="40"/>
      <c r="S92" s="40"/>
      <c r="T92" s="73">
        <f>100000+25900+51500</f>
        <v>177400</v>
      </c>
      <c r="U92" s="41"/>
      <c r="V92" s="145" t="s">
        <v>102</v>
      </c>
      <c r="W92" s="42"/>
      <c r="X92" s="2">
        <v>53.9</v>
      </c>
      <c r="Y92" s="113"/>
      <c r="Z92" s="43"/>
      <c r="AA92" s="40"/>
      <c r="AB92" s="40"/>
      <c r="AC92" s="43"/>
      <c r="AD92" s="43"/>
      <c r="AE92" s="43"/>
      <c r="AF92" s="43"/>
      <c r="AG92" s="142">
        <v>44620</v>
      </c>
      <c r="AH92" s="142">
        <v>44620</v>
      </c>
      <c r="AI92" s="77">
        <v>44658</v>
      </c>
      <c r="AJ92" s="79">
        <v>44664</v>
      </c>
      <c r="AK92" s="79">
        <v>44664</v>
      </c>
      <c r="AL92" s="135" t="s">
        <v>31</v>
      </c>
      <c r="AM92" s="73">
        <f>100000+25900+51500</f>
        <v>177400</v>
      </c>
      <c r="AN92" s="96"/>
      <c r="AO92" s="96"/>
      <c r="AP92" s="73">
        <v>175340</v>
      </c>
      <c r="AQ92" s="44"/>
      <c r="AR92" s="114"/>
      <c r="AS92" s="98"/>
      <c r="AT92" s="98"/>
      <c r="AU92" s="98"/>
      <c r="AV92" s="98"/>
      <c r="AW92" s="98"/>
      <c r="AX92" s="98"/>
      <c r="AY92" s="98"/>
      <c r="AZ92" s="115"/>
    </row>
    <row r="93" spans="1:52" s="19" customFormat="1" ht="12.6" customHeight="1" x14ac:dyDescent="0.2">
      <c r="A93" s="72" t="s">
        <v>137</v>
      </c>
      <c r="B93" s="72" t="s">
        <v>112</v>
      </c>
      <c r="C93" s="40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0"/>
      <c r="R93" s="40"/>
      <c r="S93" s="40"/>
      <c r="T93" s="73">
        <f>95000+70000+49000+7000</f>
        <v>221000</v>
      </c>
      <c r="U93" s="41"/>
      <c r="V93" s="145" t="s">
        <v>102</v>
      </c>
      <c r="W93" s="42"/>
      <c r="X93" s="2">
        <v>53.9</v>
      </c>
      <c r="Y93" s="113"/>
      <c r="Z93" s="43"/>
      <c r="AA93" s="40"/>
      <c r="AB93" s="40"/>
      <c r="AC93" s="43"/>
      <c r="AD93" s="43"/>
      <c r="AE93" s="43"/>
      <c r="AF93" s="43"/>
      <c r="AG93" s="142">
        <v>44642</v>
      </c>
      <c r="AH93" s="142">
        <v>44642</v>
      </c>
      <c r="AI93" s="77">
        <v>44658</v>
      </c>
      <c r="AJ93" s="79">
        <v>44664</v>
      </c>
      <c r="AK93" s="79">
        <v>44664</v>
      </c>
      <c r="AL93" s="135" t="s">
        <v>31</v>
      </c>
      <c r="AM93" s="73">
        <f>95000+70000+49000+7000</f>
        <v>221000</v>
      </c>
      <c r="AN93" s="96"/>
      <c r="AO93" s="96"/>
      <c r="AP93" s="73">
        <v>219359</v>
      </c>
      <c r="AQ93" s="44"/>
      <c r="AR93" s="114"/>
      <c r="AS93" s="98"/>
      <c r="AT93" s="98"/>
      <c r="AU93" s="98"/>
      <c r="AV93" s="98"/>
      <c r="AW93" s="98"/>
      <c r="AX93" s="98"/>
      <c r="AY93" s="98"/>
      <c r="AZ93" s="115"/>
    </row>
    <row r="94" spans="1:52" s="19" customFormat="1" ht="12.6" customHeight="1" x14ac:dyDescent="0.2">
      <c r="A94" s="72" t="s">
        <v>137</v>
      </c>
      <c r="B94" s="72" t="s">
        <v>112</v>
      </c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0"/>
      <c r="R94" s="40"/>
      <c r="S94" s="40"/>
      <c r="T94" s="73">
        <v>30000</v>
      </c>
      <c r="U94" s="41"/>
      <c r="V94" s="145" t="s">
        <v>82</v>
      </c>
      <c r="W94" s="42"/>
      <c r="X94" s="2">
        <v>53.9</v>
      </c>
      <c r="Y94" s="113"/>
      <c r="Z94" s="43"/>
      <c r="AA94" s="40"/>
      <c r="AB94" s="40"/>
      <c r="AC94" s="43"/>
      <c r="AD94" s="43"/>
      <c r="AE94" s="43"/>
      <c r="AF94" s="43"/>
      <c r="AG94" s="75">
        <v>44699</v>
      </c>
      <c r="AH94" s="75">
        <v>44699</v>
      </c>
      <c r="AI94" s="77">
        <v>44764</v>
      </c>
      <c r="AJ94" s="79">
        <v>44771</v>
      </c>
      <c r="AK94" s="79">
        <v>44771</v>
      </c>
      <c r="AL94" s="135" t="s">
        <v>31</v>
      </c>
      <c r="AM94" s="73">
        <v>30000</v>
      </c>
      <c r="AN94" s="96"/>
      <c r="AO94" s="96"/>
      <c r="AP94" s="73">
        <v>29456</v>
      </c>
      <c r="AQ94" s="44"/>
      <c r="AR94" s="114"/>
      <c r="AS94" s="98"/>
      <c r="AT94" s="98"/>
      <c r="AU94" s="98"/>
      <c r="AV94" s="98"/>
      <c r="AW94" s="98"/>
      <c r="AX94" s="98"/>
      <c r="AY94" s="98"/>
      <c r="AZ94" s="115"/>
    </row>
    <row r="95" spans="1:52" s="19" customFormat="1" ht="12.6" customHeight="1" x14ac:dyDescent="0.2">
      <c r="A95" s="72" t="s">
        <v>143</v>
      </c>
      <c r="B95" s="72" t="s">
        <v>128</v>
      </c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0"/>
      <c r="R95" s="40"/>
      <c r="S95" s="40"/>
      <c r="T95" s="73">
        <f>18500+4500+6000</f>
        <v>29000</v>
      </c>
      <c r="U95" s="41"/>
      <c r="V95" s="72" t="s">
        <v>103</v>
      </c>
      <c r="W95" s="42"/>
      <c r="X95" s="2">
        <v>53.9</v>
      </c>
      <c r="Y95" s="113"/>
      <c r="Z95" s="43"/>
      <c r="AA95" s="40"/>
      <c r="AB95" s="40"/>
      <c r="AC95" s="43"/>
      <c r="AD95" s="43"/>
      <c r="AE95" s="43"/>
      <c r="AF95" s="43"/>
      <c r="AG95" s="142">
        <v>44630</v>
      </c>
      <c r="AH95" s="142">
        <v>44630</v>
      </c>
      <c r="AI95" s="77">
        <v>44757</v>
      </c>
      <c r="AJ95" s="79">
        <v>44764</v>
      </c>
      <c r="AK95" s="79">
        <v>44764</v>
      </c>
      <c r="AL95" s="135" t="s">
        <v>31</v>
      </c>
      <c r="AM95" s="73">
        <f>18500+4500+6000</f>
        <v>29000</v>
      </c>
      <c r="AN95" s="96"/>
      <c r="AO95" s="96"/>
      <c r="AP95" s="73">
        <f>17858+4440+5988</f>
        <v>28286</v>
      </c>
      <c r="AQ95" s="44"/>
      <c r="AR95" s="114"/>
      <c r="AS95" s="98"/>
      <c r="AT95" s="98"/>
      <c r="AU95" s="98"/>
      <c r="AV95" s="98"/>
      <c r="AW95" s="98"/>
      <c r="AX95" s="98"/>
      <c r="AY95" s="98"/>
      <c r="AZ95" s="115"/>
    </row>
    <row r="96" spans="1:52" s="19" customFormat="1" ht="12.6" customHeight="1" x14ac:dyDescent="0.2">
      <c r="A96" s="72" t="s">
        <v>142</v>
      </c>
      <c r="B96" s="72" t="s">
        <v>116</v>
      </c>
      <c r="C96" s="40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0"/>
      <c r="R96" s="40"/>
      <c r="S96" s="40"/>
      <c r="T96" s="73">
        <f>7000+125000+70000+64000</f>
        <v>266000</v>
      </c>
      <c r="U96" s="41"/>
      <c r="V96" s="72" t="s">
        <v>102</v>
      </c>
      <c r="W96" s="42"/>
      <c r="X96" s="2">
        <v>53.9</v>
      </c>
      <c r="Y96" s="113"/>
      <c r="Z96" s="43"/>
      <c r="AA96" s="40"/>
      <c r="AB96" s="40"/>
      <c r="AC96" s="43"/>
      <c r="AD96" s="43"/>
      <c r="AE96" s="43"/>
      <c r="AF96" s="43"/>
      <c r="AG96" s="142">
        <v>44620</v>
      </c>
      <c r="AH96" s="142">
        <v>44620</v>
      </c>
      <c r="AI96" s="77">
        <v>44658</v>
      </c>
      <c r="AJ96" s="79">
        <v>44664</v>
      </c>
      <c r="AK96" s="79">
        <v>44664</v>
      </c>
      <c r="AL96" s="135" t="s">
        <v>31</v>
      </c>
      <c r="AM96" s="73">
        <f>7000+125000+70000+64000</f>
        <v>266000</v>
      </c>
      <c r="AN96" s="96"/>
      <c r="AO96" s="96"/>
      <c r="AP96" s="73">
        <v>262754</v>
      </c>
      <c r="AQ96" s="44"/>
      <c r="AR96" s="114"/>
      <c r="AS96" s="98"/>
      <c r="AT96" s="98"/>
      <c r="AU96" s="98"/>
      <c r="AV96" s="98"/>
      <c r="AW96" s="98"/>
      <c r="AX96" s="98"/>
      <c r="AY96" s="98"/>
      <c r="AZ96" s="115"/>
    </row>
    <row r="97" spans="1:52" s="19" customFormat="1" ht="12.6" customHeight="1" x14ac:dyDescent="0.2">
      <c r="A97" s="72" t="s">
        <v>139</v>
      </c>
      <c r="B97" s="72" t="s">
        <v>114</v>
      </c>
      <c r="C97" s="40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0"/>
      <c r="R97" s="40"/>
      <c r="S97" s="40"/>
      <c r="T97" s="73">
        <v>76600</v>
      </c>
      <c r="U97" s="41"/>
      <c r="V97" s="72" t="s">
        <v>102</v>
      </c>
      <c r="W97" s="42"/>
      <c r="X97" s="2">
        <v>53.9</v>
      </c>
      <c r="Y97" s="113"/>
      <c r="Z97" s="43"/>
      <c r="AA97" s="40"/>
      <c r="AB97" s="40"/>
      <c r="AC97" s="43"/>
      <c r="AD97" s="43"/>
      <c r="AE97" s="43"/>
      <c r="AF97" s="43"/>
      <c r="AG97" s="142">
        <v>44620</v>
      </c>
      <c r="AH97" s="142">
        <v>44620</v>
      </c>
      <c r="AI97" s="77">
        <v>44708</v>
      </c>
      <c r="AJ97" s="79">
        <v>44715</v>
      </c>
      <c r="AK97" s="79">
        <v>44715</v>
      </c>
      <c r="AL97" s="135" t="s">
        <v>31</v>
      </c>
      <c r="AM97" s="73">
        <v>76600</v>
      </c>
      <c r="AN97" s="96"/>
      <c r="AO97" s="96"/>
      <c r="AP97" s="73">
        <v>75600</v>
      </c>
      <c r="AQ97" s="44"/>
      <c r="AR97" s="114"/>
      <c r="AS97" s="98"/>
      <c r="AT97" s="98"/>
      <c r="AU97" s="98"/>
      <c r="AV97" s="98"/>
      <c r="AW97" s="98"/>
      <c r="AX97" s="98"/>
      <c r="AY97" s="98"/>
      <c r="AZ97" s="115"/>
    </row>
    <row r="98" spans="1:52" s="19" customFormat="1" ht="12.6" customHeight="1" x14ac:dyDescent="0.2">
      <c r="A98" s="72" t="s">
        <v>137</v>
      </c>
      <c r="B98" s="72" t="s">
        <v>112</v>
      </c>
      <c r="C98" s="40"/>
      <c r="D98" s="40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0"/>
      <c r="R98" s="40"/>
      <c r="S98" s="40"/>
      <c r="T98" s="73">
        <v>13050</v>
      </c>
      <c r="U98" s="41"/>
      <c r="V98" s="72" t="s">
        <v>90</v>
      </c>
      <c r="W98" s="42"/>
      <c r="X98" s="2">
        <v>53.9</v>
      </c>
      <c r="Y98" s="113"/>
      <c r="Z98" s="43"/>
      <c r="AA98" s="40"/>
      <c r="AB98" s="40"/>
      <c r="AC98" s="43"/>
      <c r="AD98" s="43"/>
      <c r="AE98" s="43"/>
      <c r="AF98" s="43"/>
      <c r="AG98" s="142">
        <v>44645</v>
      </c>
      <c r="AH98" s="142">
        <v>44645</v>
      </c>
      <c r="AI98" s="77">
        <v>44718</v>
      </c>
      <c r="AJ98" s="79">
        <v>44725</v>
      </c>
      <c r="AK98" s="79">
        <v>44725</v>
      </c>
      <c r="AL98" s="135" t="s">
        <v>31</v>
      </c>
      <c r="AM98" s="73">
        <v>13050</v>
      </c>
      <c r="AN98" s="96"/>
      <c r="AO98" s="96"/>
      <c r="AP98" s="73">
        <v>12816.5</v>
      </c>
      <c r="AQ98" s="44"/>
      <c r="AR98" s="114"/>
      <c r="AS98" s="98"/>
      <c r="AT98" s="98"/>
      <c r="AU98" s="98"/>
      <c r="AV98" s="98"/>
      <c r="AW98" s="98"/>
      <c r="AX98" s="98"/>
      <c r="AY98" s="98"/>
      <c r="AZ98" s="115"/>
    </row>
    <row r="99" spans="1:52" s="19" customFormat="1" ht="12.6" customHeight="1" x14ac:dyDescent="0.2">
      <c r="A99" s="72" t="s">
        <v>141</v>
      </c>
      <c r="B99" s="72" t="s">
        <v>130</v>
      </c>
      <c r="C99" s="40"/>
      <c r="D99" s="40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0"/>
      <c r="R99" s="40"/>
      <c r="S99" s="40"/>
      <c r="T99" s="73">
        <v>60300</v>
      </c>
      <c r="U99" s="41"/>
      <c r="V99" s="145" t="s">
        <v>95</v>
      </c>
      <c r="W99" s="42"/>
      <c r="X99" s="2">
        <v>53.9</v>
      </c>
      <c r="Y99" s="113"/>
      <c r="Z99" s="43"/>
      <c r="AA99" s="40"/>
      <c r="AB99" s="40"/>
      <c r="AC99" s="43"/>
      <c r="AD99" s="43"/>
      <c r="AE99" s="43"/>
      <c r="AF99" s="43"/>
      <c r="AG99" s="75">
        <v>44662</v>
      </c>
      <c r="AH99" s="75">
        <v>44662</v>
      </c>
      <c r="AI99" s="77">
        <v>44727</v>
      </c>
      <c r="AJ99" s="79">
        <v>44734</v>
      </c>
      <c r="AK99" s="79">
        <v>44734</v>
      </c>
      <c r="AL99" s="135" t="s">
        <v>31</v>
      </c>
      <c r="AM99" s="73">
        <v>60300</v>
      </c>
      <c r="AN99" s="96"/>
      <c r="AO99" s="96"/>
      <c r="AP99" s="73">
        <v>60164</v>
      </c>
      <c r="AQ99" s="44"/>
      <c r="AR99" s="114"/>
      <c r="AS99" s="98"/>
      <c r="AT99" s="98"/>
      <c r="AU99" s="98"/>
      <c r="AV99" s="98"/>
      <c r="AW99" s="98"/>
      <c r="AX99" s="98"/>
      <c r="AY99" s="98"/>
      <c r="AZ99" s="115"/>
    </row>
    <row r="100" spans="1:52" s="19" customFormat="1" ht="12.6" customHeight="1" x14ac:dyDescent="0.2">
      <c r="A100" s="72" t="s">
        <v>144</v>
      </c>
      <c r="B100" s="72" t="s">
        <v>126</v>
      </c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0"/>
      <c r="R100" s="40"/>
      <c r="S100" s="40"/>
      <c r="T100" s="73">
        <f>65000+157590</f>
        <v>222590</v>
      </c>
      <c r="U100" s="41"/>
      <c r="V100" s="145" t="s">
        <v>82</v>
      </c>
      <c r="W100" s="42"/>
      <c r="X100" s="2">
        <v>53.9</v>
      </c>
      <c r="Y100" s="113"/>
      <c r="Z100" s="43"/>
      <c r="AA100" s="40"/>
      <c r="AB100" s="40"/>
      <c r="AC100" s="43"/>
      <c r="AD100" s="43"/>
      <c r="AE100" s="43"/>
      <c r="AF100" s="43"/>
      <c r="AG100" s="75">
        <v>44712</v>
      </c>
      <c r="AH100" s="75">
        <v>44712</v>
      </c>
      <c r="AI100" s="77">
        <v>44756</v>
      </c>
      <c r="AJ100" s="79">
        <v>44763</v>
      </c>
      <c r="AK100" s="79">
        <v>44763</v>
      </c>
      <c r="AL100" s="135" t="s">
        <v>31</v>
      </c>
      <c r="AM100" s="73">
        <f>65000+157590</f>
        <v>222590</v>
      </c>
      <c r="AN100" s="96"/>
      <c r="AO100" s="96"/>
      <c r="AP100" s="73">
        <f>63845+155190</f>
        <v>219035</v>
      </c>
      <c r="AQ100" s="44"/>
      <c r="AR100" s="114"/>
      <c r="AS100" s="98"/>
      <c r="AT100" s="98"/>
      <c r="AU100" s="98"/>
      <c r="AV100" s="98"/>
      <c r="AW100" s="98"/>
      <c r="AX100" s="98"/>
      <c r="AY100" s="98"/>
      <c r="AZ100" s="115"/>
    </row>
    <row r="101" spans="1:52" s="19" customFormat="1" ht="12.6" customHeight="1" x14ac:dyDescent="0.2">
      <c r="A101" s="72" t="s">
        <v>148</v>
      </c>
      <c r="B101" s="72" t="s">
        <v>133</v>
      </c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0"/>
      <c r="R101" s="40"/>
      <c r="S101" s="40"/>
      <c r="T101" s="73">
        <f>14000+32400</f>
        <v>46400</v>
      </c>
      <c r="U101" s="41"/>
      <c r="V101" s="145" t="s">
        <v>82</v>
      </c>
      <c r="W101" s="42"/>
      <c r="X101" s="2">
        <v>53.9</v>
      </c>
      <c r="Y101" s="113"/>
      <c r="Z101" s="43"/>
      <c r="AA101" s="40"/>
      <c r="AB101" s="40"/>
      <c r="AC101" s="43"/>
      <c r="AD101" s="43"/>
      <c r="AE101" s="43"/>
      <c r="AF101" s="43"/>
      <c r="AG101" s="75">
        <v>44714</v>
      </c>
      <c r="AH101" s="75">
        <v>44714</v>
      </c>
      <c r="AI101" s="77">
        <v>44761</v>
      </c>
      <c r="AJ101" s="79">
        <v>44768</v>
      </c>
      <c r="AK101" s="79">
        <v>44768</v>
      </c>
      <c r="AL101" s="135" t="s">
        <v>31</v>
      </c>
      <c r="AM101" s="73">
        <f>14000+32400</f>
        <v>46400</v>
      </c>
      <c r="AN101" s="96"/>
      <c r="AO101" s="96"/>
      <c r="AP101" s="73">
        <f>13815+32100</f>
        <v>45915</v>
      </c>
      <c r="AQ101" s="44"/>
      <c r="AR101" s="114"/>
      <c r="AS101" s="98"/>
      <c r="AT101" s="98"/>
      <c r="AU101" s="98"/>
      <c r="AV101" s="98"/>
      <c r="AW101" s="98"/>
      <c r="AX101" s="98"/>
      <c r="AY101" s="98"/>
      <c r="AZ101" s="115"/>
    </row>
    <row r="102" spans="1:52" s="19" customFormat="1" ht="12.6" customHeight="1" x14ac:dyDescent="0.2">
      <c r="A102" s="72" t="s">
        <v>146</v>
      </c>
      <c r="B102" s="72" t="s">
        <v>121</v>
      </c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0"/>
      <c r="R102" s="40"/>
      <c r="S102" s="40"/>
      <c r="T102" s="73">
        <f>50550+7000</f>
        <v>57550</v>
      </c>
      <c r="U102" s="41"/>
      <c r="V102" s="145" t="s">
        <v>79</v>
      </c>
      <c r="W102" s="42"/>
      <c r="X102" s="2">
        <v>53.9</v>
      </c>
      <c r="Y102" s="113"/>
      <c r="Z102" s="43"/>
      <c r="AA102" s="40"/>
      <c r="AB102" s="40"/>
      <c r="AC102" s="43"/>
      <c r="AD102" s="43"/>
      <c r="AE102" s="43"/>
      <c r="AF102" s="43"/>
      <c r="AG102" s="75">
        <v>44704</v>
      </c>
      <c r="AH102" s="75">
        <v>44704</v>
      </c>
      <c r="AI102" s="77">
        <v>44727</v>
      </c>
      <c r="AJ102" s="79">
        <v>44734</v>
      </c>
      <c r="AK102" s="79">
        <v>44734</v>
      </c>
      <c r="AL102" s="135" t="s">
        <v>31</v>
      </c>
      <c r="AM102" s="73">
        <f>50550+7000</f>
        <v>57550</v>
      </c>
      <c r="AN102" s="96"/>
      <c r="AO102" s="96"/>
      <c r="AP102" s="73">
        <f>50405+6972</f>
        <v>57377</v>
      </c>
      <c r="AQ102" s="44"/>
      <c r="AR102" s="114"/>
      <c r="AS102" s="98"/>
      <c r="AT102" s="98"/>
      <c r="AU102" s="98"/>
      <c r="AV102" s="98"/>
      <c r="AW102" s="98"/>
      <c r="AX102" s="98"/>
      <c r="AY102" s="98"/>
      <c r="AZ102" s="115"/>
    </row>
    <row r="103" spans="1:52" s="19" customFormat="1" ht="12.6" customHeight="1" x14ac:dyDescent="0.2">
      <c r="A103" s="72" t="s">
        <v>140</v>
      </c>
      <c r="B103" s="72" t="s">
        <v>115</v>
      </c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0"/>
      <c r="R103" s="40"/>
      <c r="S103" s="40"/>
      <c r="T103" s="73">
        <v>10000</v>
      </c>
      <c r="U103" s="41"/>
      <c r="V103" s="145" t="s">
        <v>90</v>
      </c>
      <c r="W103" s="42"/>
      <c r="X103" s="2">
        <v>53.9</v>
      </c>
      <c r="Y103" s="113"/>
      <c r="Z103" s="43"/>
      <c r="AA103" s="40"/>
      <c r="AB103" s="40"/>
      <c r="AC103" s="43"/>
      <c r="AD103" s="43"/>
      <c r="AE103" s="43"/>
      <c r="AF103" s="43"/>
      <c r="AG103" s="142">
        <v>44645</v>
      </c>
      <c r="AH103" s="142">
        <v>44645</v>
      </c>
      <c r="AI103" s="77">
        <v>44709</v>
      </c>
      <c r="AJ103" s="79">
        <v>44715</v>
      </c>
      <c r="AK103" s="79">
        <v>44715</v>
      </c>
      <c r="AL103" s="135" t="s">
        <v>31</v>
      </c>
      <c r="AM103" s="73">
        <v>10000</v>
      </c>
      <c r="AN103" s="96"/>
      <c r="AO103" s="96"/>
      <c r="AP103" s="73">
        <v>9880</v>
      </c>
      <c r="AQ103" s="44"/>
      <c r="AR103" s="114"/>
      <c r="AS103" s="98"/>
      <c r="AT103" s="98"/>
      <c r="AU103" s="98"/>
      <c r="AV103" s="98"/>
      <c r="AW103" s="98"/>
      <c r="AX103" s="98"/>
      <c r="AY103" s="98"/>
      <c r="AZ103" s="115"/>
    </row>
    <row r="104" spans="1:52" s="19" customFormat="1" ht="12.6" customHeight="1" x14ac:dyDescent="0.2">
      <c r="A104" s="72" t="s">
        <v>140</v>
      </c>
      <c r="B104" s="72" t="s">
        <v>115</v>
      </c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0"/>
      <c r="R104" s="40"/>
      <c r="S104" s="40"/>
      <c r="T104" s="73">
        <v>10000</v>
      </c>
      <c r="U104" s="41"/>
      <c r="V104" s="145" t="s">
        <v>90</v>
      </c>
      <c r="W104" s="42"/>
      <c r="X104" s="2">
        <v>53.9</v>
      </c>
      <c r="Y104" s="113"/>
      <c r="Z104" s="43"/>
      <c r="AA104" s="40"/>
      <c r="AB104" s="40"/>
      <c r="AC104" s="43"/>
      <c r="AD104" s="43"/>
      <c r="AE104" s="43"/>
      <c r="AF104" s="43"/>
      <c r="AG104" s="75">
        <v>44726</v>
      </c>
      <c r="AH104" s="75">
        <v>44726</v>
      </c>
      <c r="AI104" s="77">
        <v>44774</v>
      </c>
      <c r="AJ104" s="79">
        <v>44781</v>
      </c>
      <c r="AK104" s="79">
        <v>44781</v>
      </c>
      <c r="AL104" s="135" t="s">
        <v>31</v>
      </c>
      <c r="AM104" s="73">
        <v>10000</v>
      </c>
      <c r="AN104" s="96"/>
      <c r="AO104" s="96"/>
      <c r="AP104" s="73">
        <v>9880</v>
      </c>
      <c r="AQ104" s="44"/>
      <c r="AR104" s="114"/>
      <c r="AS104" s="98"/>
      <c r="AT104" s="98"/>
      <c r="AU104" s="98"/>
      <c r="AV104" s="98"/>
      <c r="AW104" s="98"/>
      <c r="AX104" s="98"/>
      <c r="AY104" s="98"/>
      <c r="AZ104" s="115"/>
    </row>
    <row r="105" spans="1:52" s="19" customFormat="1" ht="12.6" customHeight="1" x14ac:dyDescent="0.2">
      <c r="A105" s="72" t="s">
        <v>145</v>
      </c>
      <c r="B105" s="72" t="s">
        <v>118</v>
      </c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0"/>
      <c r="R105" s="40"/>
      <c r="S105" s="40"/>
      <c r="T105" s="73">
        <v>70000</v>
      </c>
      <c r="U105" s="41"/>
      <c r="V105" s="145" t="s">
        <v>80</v>
      </c>
      <c r="W105" s="42"/>
      <c r="X105" s="2">
        <v>53.9</v>
      </c>
      <c r="Y105" s="113"/>
      <c r="Z105" s="43"/>
      <c r="AA105" s="40"/>
      <c r="AB105" s="40"/>
      <c r="AC105" s="43"/>
      <c r="AD105" s="43"/>
      <c r="AE105" s="43"/>
      <c r="AF105" s="43"/>
      <c r="AG105" s="75">
        <v>44729</v>
      </c>
      <c r="AH105" s="75">
        <v>44729</v>
      </c>
      <c r="AI105" s="77">
        <v>44754</v>
      </c>
      <c r="AJ105" s="79">
        <v>44761</v>
      </c>
      <c r="AK105" s="79">
        <v>44761</v>
      </c>
      <c r="AL105" s="135" t="s">
        <v>31</v>
      </c>
      <c r="AM105" s="73">
        <v>70000</v>
      </c>
      <c r="AN105" s="96"/>
      <c r="AO105" s="96"/>
      <c r="AP105" s="73">
        <v>68985</v>
      </c>
      <c r="AQ105" s="44"/>
      <c r="AR105" s="114"/>
      <c r="AS105" s="98"/>
      <c r="AT105" s="98"/>
      <c r="AU105" s="98"/>
      <c r="AV105" s="98"/>
      <c r="AW105" s="98"/>
      <c r="AX105" s="98"/>
      <c r="AY105" s="98"/>
      <c r="AZ105" s="115"/>
    </row>
    <row r="106" spans="1:52" s="19" customFormat="1" ht="12.6" customHeight="1" x14ac:dyDescent="0.2">
      <c r="A106" s="72" t="s">
        <v>141</v>
      </c>
      <c r="B106" s="72" t="s">
        <v>130</v>
      </c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0"/>
      <c r="R106" s="40"/>
      <c r="S106" s="40"/>
      <c r="T106" s="73">
        <v>58500</v>
      </c>
      <c r="U106" s="41"/>
      <c r="V106" s="145" t="s">
        <v>86</v>
      </c>
      <c r="W106" s="42"/>
      <c r="X106" s="2">
        <v>53.9</v>
      </c>
      <c r="Y106" s="113"/>
      <c r="Z106" s="43"/>
      <c r="AA106" s="40"/>
      <c r="AB106" s="40"/>
      <c r="AC106" s="43"/>
      <c r="AD106" s="43"/>
      <c r="AE106" s="43"/>
      <c r="AF106" s="43"/>
      <c r="AG106" s="75">
        <v>44718</v>
      </c>
      <c r="AH106" s="75">
        <v>44718</v>
      </c>
      <c r="AI106" s="77">
        <v>44753</v>
      </c>
      <c r="AJ106" s="79">
        <v>44760</v>
      </c>
      <c r="AK106" s="79">
        <v>44760</v>
      </c>
      <c r="AL106" s="135" t="s">
        <v>31</v>
      </c>
      <c r="AM106" s="73">
        <v>58500</v>
      </c>
      <c r="AN106" s="96"/>
      <c r="AO106" s="96"/>
      <c r="AP106" s="73">
        <f>29761+3940+2940+10395+10890</f>
        <v>57926</v>
      </c>
      <c r="AQ106" s="44"/>
      <c r="AR106" s="114"/>
      <c r="AS106" s="98"/>
      <c r="AT106" s="98"/>
      <c r="AU106" s="98"/>
      <c r="AV106" s="98"/>
      <c r="AW106" s="98"/>
      <c r="AX106" s="98"/>
      <c r="AY106" s="98"/>
      <c r="AZ106" s="115"/>
    </row>
    <row r="107" spans="1:52" s="19" customFormat="1" ht="12.6" customHeight="1" x14ac:dyDescent="0.2">
      <c r="A107" s="72" t="s">
        <v>137</v>
      </c>
      <c r="B107" s="72" t="s">
        <v>112</v>
      </c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0"/>
      <c r="R107" s="40"/>
      <c r="S107" s="40"/>
      <c r="T107" s="73">
        <f>44000+15000</f>
        <v>59000</v>
      </c>
      <c r="U107" s="41"/>
      <c r="V107" s="145" t="s">
        <v>96</v>
      </c>
      <c r="W107" s="42"/>
      <c r="X107" s="2">
        <v>53.9</v>
      </c>
      <c r="Y107" s="113"/>
      <c r="Z107" s="43"/>
      <c r="AA107" s="40"/>
      <c r="AB107" s="40"/>
      <c r="AC107" s="43"/>
      <c r="AD107" s="43"/>
      <c r="AE107" s="43"/>
      <c r="AF107" s="43"/>
      <c r="AG107" s="75">
        <v>44712</v>
      </c>
      <c r="AH107" s="75">
        <v>44712</v>
      </c>
      <c r="AI107" s="77">
        <v>44754</v>
      </c>
      <c r="AJ107" s="79">
        <v>44761</v>
      </c>
      <c r="AK107" s="79">
        <v>44761</v>
      </c>
      <c r="AL107" s="135" t="s">
        <v>31</v>
      </c>
      <c r="AM107" s="73">
        <f>44000+15000</f>
        <v>59000</v>
      </c>
      <c r="AN107" s="96"/>
      <c r="AO107" s="96"/>
      <c r="AP107" s="73">
        <v>57785</v>
      </c>
      <c r="AQ107" s="44"/>
      <c r="AR107" s="114"/>
      <c r="AS107" s="98"/>
      <c r="AT107" s="98"/>
      <c r="AU107" s="98"/>
      <c r="AV107" s="98"/>
      <c r="AW107" s="98"/>
      <c r="AX107" s="98"/>
      <c r="AY107" s="98"/>
      <c r="AZ107" s="115"/>
    </row>
    <row r="108" spans="1:52" s="19" customFormat="1" ht="12.6" customHeight="1" x14ac:dyDescent="0.2">
      <c r="A108" s="72" t="s">
        <v>147</v>
      </c>
      <c r="B108" s="72" t="s">
        <v>119</v>
      </c>
      <c r="C108" s="40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0"/>
      <c r="R108" s="40"/>
      <c r="S108" s="40"/>
      <c r="T108" s="73">
        <v>30000</v>
      </c>
      <c r="U108" s="41"/>
      <c r="V108" s="72" t="s">
        <v>80</v>
      </c>
      <c r="W108" s="42"/>
      <c r="X108" s="2">
        <v>53.9</v>
      </c>
      <c r="Y108" s="113"/>
      <c r="Z108" s="43"/>
      <c r="AA108" s="40"/>
      <c r="AB108" s="40"/>
      <c r="AC108" s="43"/>
      <c r="AD108" s="43"/>
      <c r="AE108" s="43"/>
      <c r="AF108" s="43"/>
      <c r="AG108" s="142">
        <v>44630</v>
      </c>
      <c r="AH108" s="142">
        <v>44630</v>
      </c>
      <c r="AI108" s="77">
        <v>44754</v>
      </c>
      <c r="AJ108" s="79">
        <v>44761</v>
      </c>
      <c r="AK108" s="79">
        <v>44761</v>
      </c>
      <c r="AL108" s="135" t="s">
        <v>31</v>
      </c>
      <c r="AM108" s="73">
        <v>30000</v>
      </c>
      <c r="AN108" s="96"/>
      <c r="AO108" s="96"/>
      <c r="AP108" s="73">
        <v>29460</v>
      </c>
      <c r="AQ108" s="44"/>
      <c r="AR108" s="114"/>
      <c r="AS108" s="98"/>
      <c r="AT108" s="98"/>
      <c r="AU108" s="98"/>
      <c r="AV108" s="98"/>
      <c r="AW108" s="98"/>
      <c r="AX108" s="98"/>
      <c r="AY108" s="98"/>
      <c r="AZ108" s="115"/>
    </row>
    <row r="109" spans="1:52" s="19" customFormat="1" ht="12.6" customHeight="1" x14ac:dyDescent="0.2">
      <c r="A109" s="72" t="s">
        <v>136</v>
      </c>
      <c r="B109" s="72" t="s">
        <v>111</v>
      </c>
      <c r="C109" s="40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0"/>
      <c r="R109" s="40"/>
      <c r="S109" s="40"/>
      <c r="T109" s="73">
        <v>37500</v>
      </c>
      <c r="U109" s="41"/>
      <c r="V109" s="145" t="s">
        <v>93</v>
      </c>
      <c r="W109" s="42"/>
      <c r="X109" s="2">
        <v>53.9</v>
      </c>
      <c r="Y109" s="113"/>
      <c r="Z109" s="43"/>
      <c r="AA109" s="40"/>
      <c r="AB109" s="40"/>
      <c r="AC109" s="43"/>
      <c r="AD109" s="43"/>
      <c r="AE109" s="43"/>
      <c r="AF109" s="43"/>
      <c r="AG109" s="76">
        <v>44687</v>
      </c>
      <c r="AH109" s="76">
        <v>44687</v>
      </c>
      <c r="AI109" s="77">
        <v>44727</v>
      </c>
      <c r="AJ109" s="79">
        <v>44734</v>
      </c>
      <c r="AK109" s="79">
        <v>44734</v>
      </c>
      <c r="AL109" s="135" t="s">
        <v>31</v>
      </c>
      <c r="AM109" s="73">
        <v>37500</v>
      </c>
      <c r="AN109" s="96"/>
      <c r="AO109" s="96"/>
      <c r="AP109" s="73">
        <v>37275</v>
      </c>
      <c r="AQ109" s="44"/>
      <c r="AR109" s="114"/>
      <c r="AS109" s="98"/>
      <c r="AT109" s="98"/>
      <c r="AU109" s="98"/>
      <c r="AV109" s="98"/>
      <c r="AW109" s="98"/>
      <c r="AX109" s="98"/>
      <c r="AY109" s="98"/>
      <c r="AZ109" s="115"/>
    </row>
    <row r="110" spans="1:52" s="19" customFormat="1" ht="12.6" customHeight="1" x14ac:dyDescent="0.2">
      <c r="A110" s="72" t="s">
        <v>147</v>
      </c>
      <c r="B110" s="72" t="s">
        <v>119</v>
      </c>
      <c r="C110" s="40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0"/>
      <c r="R110" s="40"/>
      <c r="S110" s="40"/>
      <c r="T110" s="73">
        <f>40000+40000+3500</f>
        <v>83500</v>
      </c>
      <c r="U110" s="41"/>
      <c r="V110" s="145" t="s">
        <v>86</v>
      </c>
      <c r="W110" s="42"/>
      <c r="X110" s="2">
        <v>53.9</v>
      </c>
      <c r="Y110" s="113"/>
      <c r="Z110" s="43"/>
      <c r="AA110" s="40"/>
      <c r="AB110" s="40"/>
      <c r="AC110" s="43"/>
      <c r="AD110" s="43"/>
      <c r="AE110" s="43"/>
      <c r="AF110" s="43"/>
      <c r="AG110" s="142">
        <v>44607</v>
      </c>
      <c r="AH110" s="142">
        <v>44607</v>
      </c>
      <c r="AI110" s="77">
        <v>44732</v>
      </c>
      <c r="AJ110" s="79">
        <v>44739</v>
      </c>
      <c r="AK110" s="79">
        <v>44739</v>
      </c>
      <c r="AL110" s="135" t="s">
        <v>31</v>
      </c>
      <c r="AM110" s="73">
        <f>40000+40000+3500</f>
        <v>83500</v>
      </c>
      <c r="AN110" s="96"/>
      <c r="AO110" s="96"/>
      <c r="AP110" s="73">
        <f>39740+39820+3400</f>
        <v>82960</v>
      </c>
      <c r="AQ110" s="44"/>
      <c r="AR110" s="114"/>
      <c r="AS110" s="98"/>
      <c r="AT110" s="98"/>
      <c r="AU110" s="98"/>
      <c r="AV110" s="98"/>
      <c r="AW110" s="98"/>
      <c r="AX110" s="98"/>
      <c r="AY110" s="98"/>
      <c r="AZ110" s="115"/>
    </row>
    <row r="111" spans="1:52" s="19" customFormat="1" ht="12.6" customHeight="1" x14ac:dyDescent="0.2">
      <c r="A111" s="72" t="s">
        <v>136</v>
      </c>
      <c r="B111" s="72" t="s">
        <v>111</v>
      </c>
      <c r="C111" s="40"/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0"/>
      <c r="R111" s="40"/>
      <c r="S111" s="40"/>
      <c r="T111" s="73">
        <f>16000+15650+10000+11400</f>
        <v>53050</v>
      </c>
      <c r="U111" s="41"/>
      <c r="V111" s="72" t="s">
        <v>79</v>
      </c>
      <c r="W111" s="42"/>
      <c r="X111" s="2">
        <v>53.9</v>
      </c>
      <c r="Y111" s="113"/>
      <c r="Z111" s="43"/>
      <c r="AA111" s="40"/>
      <c r="AB111" s="40"/>
      <c r="AC111" s="43"/>
      <c r="AD111" s="43"/>
      <c r="AE111" s="43"/>
      <c r="AF111" s="43"/>
      <c r="AG111" s="142">
        <v>44610</v>
      </c>
      <c r="AH111" s="142">
        <v>44610</v>
      </c>
      <c r="AI111" s="77">
        <v>44657</v>
      </c>
      <c r="AJ111" s="79">
        <v>44664</v>
      </c>
      <c r="AK111" s="79">
        <v>44664</v>
      </c>
      <c r="AL111" s="135" t="s">
        <v>31</v>
      </c>
      <c r="AM111" s="73">
        <f>16000+15650+10000+11400</f>
        <v>53050</v>
      </c>
      <c r="AN111" s="96"/>
      <c r="AO111" s="96"/>
      <c r="AP111" s="73">
        <f>15968+15615+9975+11366</f>
        <v>52924</v>
      </c>
      <c r="AQ111" s="44"/>
      <c r="AR111" s="114"/>
      <c r="AS111" s="98"/>
      <c r="AT111" s="98"/>
      <c r="AU111" s="98"/>
      <c r="AV111" s="98"/>
      <c r="AW111" s="98"/>
      <c r="AX111" s="98"/>
      <c r="AY111" s="98"/>
      <c r="AZ111" s="115"/>
    </row>
    <row r="112" spans="1:52" s="19" customFormat="1" ht="12.6" customHeight="1" x14ac:dyDescent="0.2">
      <c r="A112" s="72" t="s">
        <v>145</v>
      </c>
      <c r="B112" s="72" t="s">
        <v>118</v>
      </c>
      <c r="C112" s="40"/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0"/>
      <c r="R112" s="40"/>
      <c r="S112" s="40"/>
      <c r="T112" s="73">
        <v>180000</v>
      </c>
      <c r="U112" s="41"/>
      <c r="V112" s="145" t="s">
        <v>82</v>
      </c>
      <c r="W112" s="42"/>
      <c r="X112" s="2">
        <v>53.9</v>
      </c>
      <c r="Y112" s="113"/>
      <c r="Z112" s="43"/>
      <c r="AA112" s="40"/>
      <c r="AB112" s="40"/>
      <c r="AC112" s="43"/>
      <c r="AD112" s="43"/>
      <c r="AE112" s="43"/>
      <c r="AF112" s="43"/>
      <c r="AG112" s="75">
        <v>44736</v>
      </c>
      <c r="AH112" s="75">
        <v>44736</v>
      </c>
      <c r="AI112" s="77">
        <v>44761</v>
      </c>
      <c r="AJ112" s="79">
        <v>44768</v>
      </c>
      <c r="AK112" s="79">
        <v>44768</v>
      </c>
      <c r="AL112" s="135" t="s">
        <v>31</v>
      </c>
      <c r="AM112" s="73">
        <v>180000</v>
      </c>
      <c r="AN112" s="96"/>
      <c r="AO112" s="96"/>
      <c r="AP112" s="73">
        <v>177595</v>
      </c>
      <c r="AQ112" s="44"/>
      <c r="AR112" s="114"/>
      <c r="AS112" s="98"/>
      <c r="AT112" s="98"/>
      <c r="AU112" s="98"/>
      <c r="AV112" s="98"/>
      <c r="AW112" s="98"/>
      <c r="AX112" s="98"/>
      <c r="AY112" s="98"/>
      <c r="AZ112" s="115"/>
    </row>
    <row r="113" spans="1:52" s="19" customFormat="1" ht="12.6" customHeight="1" x14ac:dyDescent="0.2">
      <c r="A113" s="72" t="s">
        <v>146</v>
      </c>
      <c r="B113" s="72" t="s">
        <v>121</v>
      </c>
      <c r="C113" s="40"/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0"/>
      <c r="R113" s="40"/>
      <c r="S113" s="40"/>
      <c r="T113" s="73">
        <v>311000</v>
      </c>
      <c r="U113" s="41"/>
      <c r="V113" s="145" t="s">
        <v>97</v>
      </c>
      <c r="W113" s="42"/>
      <c r="X113" s="2">
        <v>53.9</v>
      </c>
      <c r="Y113" s="113"/>
      <c r="Z113" s="43"/>
      <c r="AA113" s="40"/>
      <c r="AB113" s="40"/>
      <c r="AC113" s="43"/>
      <c r="AD113" s="43"/>
      <c r="AE113" s="43"/>
      <c r="AF113" s="43"/>
      <c r="AG113" s="75">
        <v>44714</v>
      </c>
      <c r="AH113" s="75">
        <v>44714</v>
      </c>
      <c r="AI113" s="77">
        <v>44747</v>
      </c>
      <c r="AJ113" s="79">
        <v>44754</v>
      </c>
      <c r="AK113" s="79">
        <v>44754</v>
      </c>
      <c r="AL113" s="135" t="s">
        <v>31</v>
      </c>
      <c r="AM113" s="73">
        <v>311000</v>
      </c>
      <c r="AN113" s="96"/>
      <c r="AO113" s="96"/>
      <c r="AP113" s="73">
        <v>308583</v>
      </c>
      <c r="AQ113" s="44"/>
      <c r="AR113" s="114"/>
      <c r="AS113" s="98"/>
      <c r="AT113" s="98"/>
      <c r="AU113" s="98"/>
      <c r="AV113" s="98"/>
      <c r="AW113" s="98"/>
      <c r="AX113" s="98"/>
      <c r="AY113" s="98"/>
      <c r="AZ113" s="115"/>
    </row>
    <row r="114" spans="1:52" s="19" customFormat="1" ht="12.6" customHeight="1" x14ac:dyDescent="0.2">
      <c r="A114" s="72" t="s">
        <v>146</v>
      </c>
      <c r="B114" s="72" t="s">
        <v>121</v>
      </c>
      <c r="C114" s="40"/>
      <c r="D114" s="40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0"/>
      <c r="R114" s="40"/>
      <c r="S114" s="40"/>
      <c r="T114" s="73">
        <v>50000</v>
      </c>
      <c r="U114" s="41"/>
      <c r="V114" s="145" t="s">
        <v>86</v>
      </c>
      <c r="W114" s="42"/>
      <c r="X114" s="2">
        <v>53.9</v>
      </c>
      <c r="Y114" s="113"/>
      <c r="Z114" s="43"/>
      <c r="AA114" s="40"/>
      <c r="AB114" s="40"/>
      <c r="AC114" s="43"/>
      <c r="AD114" s="43"/>
      <c r="AE114" s="43"/>
      <c r="AF114" s="43"/>
      <c r="AG114" s="75">
        <v>44675</v>
      </c>
      <c r="AH114" s="75">
        <v>44675</v>
      </c>
      <c r="AI114" s="77">
        <v>44727</v>
      </c>
      <c r="AJ114" s="79">
        <v>44734</v>
      </c>
      <c r="AK114" s="79">
        <v>44734</v>
      </c>
      <c r="AL114" s="135" t="s">
        <v>31</v>
      </c>
      <c r="AM114" s="73">
        <v>50000</v>
      </c>
      <c r="AN114" s="96"/>
      <c r="AO114" s="96"/>
      <c r="AP114" s="73">
        <v>49743</v>
      </c>
      <c r="AQ114" s="44"/>
      <c r="AR114" s="114"/>
      <c r="AS114" s="98"/>
      <c r="AT114" s="98"/>
      <c r="AU114" s="98"/>
      <c r="AV114" s="98"/>
      <c r="AW114" s="98"/>
      <c r="AX114" s="98"/>
      <c r="AY114" s="98"/>
      <c r="AZ114" s="115"/>
    </row>
    <row r="115" spans="1:52" s="19" customFormat="1" ht="12.6" customHeight="1" x14ac:dyDescent="0.2">
      <c r="A115" s="72" t="s">
        <v>145</v>
      </c>
      <c r="B115" s="72" t="s">
        <v>118</v>
      </c>
      <c r="C115" s="40"/>
      <c r="D115" s="40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0"/>
      <c r="R115" s="40"/>
      <c r="S115" s="40"/>
      <c r="T115" s="73">
        <v>244300</v>
      </c>
      <c r="U115" s="41"/>
      <c r="V115" s="145" t="s">
        <v>97</v>
      </c>
      <c r="W115" s="42"/>
      <c r="X115" s="2">
        <v>53.9</v>
      </c>
      <c r="Y115" s="113"/>
      <c r="Z115" s="43"/>
      <c r="AA115" s="40"/>
      <c r="AB115" s="40"/>
      <c r="AC115" s="43"/>
      <c r="AD115" s="43"/>
      <c r="AE115" s="43"/>
      <c r="AF115" s="43"/>
      <c r="AG115" s="75">
        <v>44714</v>
      </c>
      <c r="AH115" s="75">
        <v>44714</v>
      </c>
      <c r="AI115" s="77">
        <v>44755</v>
      </c>
      <c r="AJ115" s="79">
        <v>44762</v>
      </c>
      <c r="AK115" s="79">
        <v>44762</v>
      </c>
      <c r="AL115" s="135" t="s">
        <v>31</v>
      </c>
      <c r="AM115" s="73">
        <v>244300</v>
      </c>
      <c r="AN115" s="96"/>
      <c r="AO115" s="96"/>
      <c r="AP115" s="73">
        <v>242094</v>
      </c>
      <c r="AQ115" s="44"/>
      <c r="AR115" s="114"/>
      <c r="AS115" s="98"/>
      <c r="AT115" s="98"/>
      <c r="AU115" s="98"/>
      <c r="AV115" s="98"/>
      <c r="AW115" s="98"/>
      <c r="AX115" s="98"/>
      <c r="AY115" s="98"/>
      <c r="AZ115" s="115"/>
    </row>
    <row r="116" spans="1:52" s="19" customFormat="1" ht="12.6" customHeight="1" x14ac:dyDescent="0.2">
      <c r="A116" s="72" t="s">
        <v>146</v>
      </c>
      <c r="B116" s="72" t="s">
        <v>121</v>
      </c>
      <c r="C116" s="40"/>
      <c r="D116" s="40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0"/>
      <c r="R116" s="40"/>
      <c r="S116" s="40"/>
      <c r="T116" s="73">
        <v>53650</v>
      </c>
      <c r="U116" s="41"/>
      <c r="V116" s="145" t="s">
        <v>90</v>
      </c>
      <c r="W116" s="42"/>
      <c r="X116" s="2">
        <v>53.9</v>
      </c>
      <c r="Y116" s="113"/>
      <c r="Z116" s="43"/>
      <c r="AA116" s="40"/>
      <c r="AB116" s="40"/>
      <c r="AC116" s="43"/>
      <c r="AD116" s="43"/>
      <c r="AE116" s="43"/>
      <c r="AF116" s="43"/>
      <c r="AG116" s="75">
        <v>44726</v>
      </c>
      <c r="AH116" s="75">
        <v>44726</v>
      </c>
      <c r="AI116" s="77">
        <v>44788</v>
      </c>
      <c r="AJ116" s="79">
        <v>44795</v>
      </c>
      <c r="AK116" s="79">
        <v>44795</v>
      </c>
      <c r="AL116" s="135" t="s">
        <v>31</v>
      </c>
      <c r="AM116" s="73">
        <v>53650</v>
      </c>
      <c r="AN116" s="96"/>
      <c r="AO116" s="96"/>
      <c r="AP116" s="73">
        <v>53346</v>
      </c>
      <c r="AQ116" s="44"/>
      <c r="AR116" s="114"/>
      <c r="AS116" s="98"/>
      <c r="AT116" s="98"/>
      <c r="AU116" s="98"/>
      <c r="AV116" s="98"/>
      <c r="AW116" s="98"/>
      <c r="AX116" s="98"/>
      <c r="AY116" s="98"/>
      <c r="AZ116" s="115"/>
    </row>
    <row r="117" spans="1:52" s="19" customFormat="1" ht="12.6" customHeight="1" x14ac:dyDescent="0.2">
      <c r="A117" s="72" t="s">
        <v>145</v>
      </c>
      <c r="B117" s="72" t="s">
        <v>118</v>
      </c>
      <c r="C117" s="40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0"/>
      <c r="R117" s="40"/>
      <c r="S117" s="40"/>
      <c r="T117" s="73">
        <v>120000</v>
      </c>
      <c r="U117" s="41"/>
      <c r="V117" s="145" t="s">
        <v>101</v>
      </c>
      <c r="W117" s="42"/>
      <c r="X117" s="2">
        <v>53.9</v>
      </c>
      <c r="Y117" s="113"/>
      <c r="Z117" s="43"/>
      <c r="AA117" s="40"/>
      <c r="AB117" s="40"/>
      <c r="AC117" s="43"/>
      <c r="AD117" s="43"/>
      <c r="AE117" s="43"/>
      <c r="AF117" s="43"/>
      <c r="AG117" s="75">
        <v>44658</v>
      </c>
      <c r="AH117" s="75">
        <v>44658</v>
      </c>
      <c r="AI117" s="77">
        <v>44722</v>
      </c>
      <c r="AJ117" s="79">
        <v>44729</v>
      </c>
      <c r="AK117" s="79">
        <v>44729</v>
      </c>
      <c r="AL117" s="135" t="s">
        <v>31</v>
      </c>
      <c r="AM117" s="73">
        <v>120000</v>
      </c>
      <c r="AN117" s="96"/>
      <c r="AO117" s="96"/>
      <c r="AP117" s="73">
        <v>118964</v>
      </c>
      <c r="AQ117" s="44"/>
      <c r="AR117" s="114"/>
      <c r="AS117" s="98"/>
      <c r="AT117" s="98"/>
      <c r="AU117" s="98"/>
      <c r="AV117" s="98"/>
      <c r="AW117" s="98"/>
      <c r="AX117" s="98"/>
      <c r="AY117" s="98"/>
      <c r="AZ117" s="115"/>
    </row>
    <row r="118" spans="1:52" s="19" customFormat="1" ht="12.6" customHeight="1" x14ac:dyDescent="0.2">
      <c r="A118" s="72" t="s">
        <v>147</v>
      </c>
      <c r="B118" s="72" t="s">
        <v>184</v>
      </c>
      <c r="C118" s="40"/>
      <c r="D118" s="40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0"/>
      <c r="R118" s="40"/>
      <c r="S118" s="40"/>
      <c r="T118" s="73">
        <v>18000</v>
      </c>
      <c r="U118" s="41"/>
      <c r="V118" s="147" t="s">
        <v>89</v>
      </c>
      <c r="W118" s="42"/>
      <c r="X118" s="2">
        <v>53.9</v>
      </c>
      <c r="Y118" s="113"/>
      <c r="Z118" s="43"/>
      <c r="AA118" s="40"/>
      <c r="AB118" s="40"/>
      <c r="AC118" s="43"/>
      <c r="AD118" s="43"/>
      <c r="AE118" s="43"/>
      <c r="AF118" s="43"/>
      <c r="AG118" s="75">
        <v>44824</v>
      </c>
      <c r="AH118" s="75">
        <v>44824</v>
      </c>
      <c r="AI118" s="77">
        <v>44739</v>
      </c>
      <c r="AJ118" s="77">
        <v>44743</v>
      </c>
      <c r="AK118" s="77">
        <v>44743</v>
      </c>
      <c r="AL118" s="135" t="s">
        <v>31</v>
      </c>
      <c r="AM118" s="73">
        <v>18000</v>
      </c>
      <c r="AN118" s="96"/>
      <c r="AO118" s="96"/>
      <c r="AP118" s="73">
        <v>17700</v>
      </c>
      <c r="AQ118" s="44"/>
      <c r="AR118" s="114"/>
      <c r="AS118" s="98"/>
      <c r="AT118" s="98"/>
      <c r="AU118" s="98"/>
      <c r="AV118" s="98"/>
      <c r="AW118" s="98"/>
      <c r="AX118" s="98"/>
      <c r="AY118" s="98"/>
      <c r="AZ118" s="115"/>
    </row>
    <row r="119" spans="1:52" s="19" customFormat="1" ht="12.6" customHeight="1" x14ac:dyDescent="0.2">
      <c r="A119" s="72" t="s">
        <v>146</v>
      </c>
      <c r="B119" s="72" t="s">
        <v>121</v>
      </c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0"/>
      <c r="R119" s="40"/>
      <c r="S119" s="40"/>
      <c r="T119" s="73">
        <v>40000</v>
      </c>
      <c r="U119" s="41"/>
      <c r="V119" s="145" t="s">
        <v>87</v>
      </c>
      <c r="W119" s="42"/>
      <c r="X119" s="2">
        <v>53.9</v>
      </c>
      <c r="Y119" s="113"/>
      <c r="Z119" s="43"/>
      <c r="AA119" s="40"/>
      <c r="AB119" s="40"/>
      <c r="AC119" s="43"/>
      <c r="AD119" s="43"/>
      <c r="AE119" s="43"/>
      <c r="AF119" s="43"/>
      <c r="AG119" s="75">
        <v>44711</v>
      </c>
      <c r="AH119" s="75">
        <v>44711</v>
      </c>
      <c r="AI119" s="77">
        <v>44784</v>
      </c>
      <c r="AJ119" s="79">
        <v>44791</v>
      </c>
      <c r="AK119" s="79">
        <v>44791</v>
      </c>
      <c r="AL119" s="135" t="s">
        <v>31</v>
      </c>
      <c r="AM119" s="73">
        <v>40000</v>
      </c>
      <c r="AN119" s="96"/>
      <c r="AO119" s="96"/>
      <c r="AP119" s="73">
        <v>39432</v>
      </c>
      <c r="AQ119" s="44"/>
      <c r="AR119" s="114"/>
      <c r="AS119" s="98"/>
      <c r="AT119" s="98"/>
      <c r="AU119" s="98"/>
      <c r="AV119" s="98"/>
      <c r="AW119" s="98"/>
      <c r="AX119" s="98"/>
      <c r="AY119" s="98"/>
      <c r="AZ119" s="115"/>
    </row>
    <row r="120" spans="1:52" s="19" customFormat="1" ht="12.6" customHeight="1" x14ac:dyDescent="0.2">
      <c r="A120" s="72" t="s">
        <v>146</v>
      </c>
      <c r="B120" s="72" t="s">
        <v>121</v>
      </c>
      <c r="C120" s="40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0"/>
      <c r="R120" s="40"/>
      <c r="S120" s="40"/>
      <c r="T120" s="73">
        <v>256500</v>
      </c>
      <c r="U120" s="41"/>
      <c r="V120" s="145" t="s">
        <v>101</v>
      </c>
      <c r="W120" s="42"/>
      <c r="X120" s="2">
        <v>53.9</v>
      </c>
      <c r="Y120" s="113"/>
      <c r="Z120" s="43"/>
      <c r="AA120" s="40"/>
      <c r="AB120" s="40"/>
      <c r="AC120" s="43"/>
      <c r="AD120" s="43"/>
      <c r="AE120" s="43"/>
      <c r="AF120" s="43"/>
      <c r="AG120" s="75">
        <v>44691</v>
      </c>
      <c r="AH120" s="75">
        <v>44691</v>
      </c>
      <c r="AI120" s="77">
        <v>44747</v>
      </c>
      <c r="AJ120" s="79">
        <v>44754</v>
      </c>
      <c r="AK120" s="79">
        <v>44754</v>
      </c>
      <c r="AL120" s="135" t="s">
        <v>31</v>
      </c>
      <c r="AM120" s="73">
        <v>256500</v>
      </c>
      <c r="AN120" s="96"/>
      <c r="AO120" s="96"/>
      <c r="AP120" s="73">
        <v>254030</v>
      </c>
      <c r="AQ120" s="44"/>
      <c r="AR120" s="114"/>
      <c r="AS120" s="98"/>
      <c r="AT120" s="98"/>
      <c r="AU120" s="98"/>
      <c r="AV120" s="98"/>
      <c r="AW120" s="98"/>
      <c r="AX120" s="98"/>
      <c r="AY120" s="98"/>
      <c r="AZ120" s="115"/>
    </row>
    <row r="121" spans="1:52" s="19" customFormat="1" ht="12.6" customHeight="1" x14ac:dyDescent="0.2">
      <c r="A121" s="72" t="s">
        <v>143</v>
      </c>
      <c r="B121" s="72" t="s">
        <v>128</v>
      </c>
      <c r="C121" s="40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0"/>
      <c r="R121" s="40"/>
      <c r="S121" s="40"/>
      <c r="T121" s="73">
        <v>94570</v>
      </c>
      <c r="U121" s="41"/>
      <c r="V121" s="145" t="s">
        <v>95</v>
      </c>
      <c r="W121" s="42"/>
      <c r="X121" s="2">
        <v>53.9</v>
      </c>
      <c r="Y121" s="113"/>
      <c r="Z121" s="43"/>
      <c r="AA121" s="40"/>
      <c r="AB121" s="40"/>
      <c r="AC121" s="43"/>
      <c r="AD121" s="43"/>
      <c r="AE121" s="43"/>
      <c r="AF121" s="43"/>
      <c r="AG121" s="75">
        <v>44711</v>
      </c>
      <c r="AH121" s="75">
        <v>44711</v>
      </c>
      <c r="AI121" s="77">
        <v>44754</v>
      </c>
      <c r="AJ121" s="79">
        <v>44757</v>
      </c>
      <c r="AK121" s="79">
        <v>44757</v>
      </c>
      <c r="AL121" s="135" t="s">
        <v>31</v>
      </c>
      <c r="AM121" s="73">
        <v>94570</v>
      </c>
      <c r="AN121" s="96"/>
      <c r="AO121" s="96"/>
      <c r="AP121" s="73">
        <v>94300</v>
      </c>
      <c r="AQ121" s="44"/>
      <c r="AR121" s="114"/>
      <c r="AS121" s="98"/>
      <c r="AT121" s="98"/>
      <c r="AU121" s="98"/>
      <c r="AV121" s="98"/>
      <c r="AW121" s="98"/>
      <c r="AX121" s="98"/>
      <c r="AY121" s="98"/>
      <c r="AZ121" s="115"/>
    </row>
    <row r="122" spans="1:52" s="19" customFormat="1" ht="12.6" customHeight="1" x14ac:dyDescent="0.2">
      <c r="A122" s="72" t="s">
        <v>139</v>
      </c>
      <c r="B122" s="72" t="s">
        <v>114</v>
      </c>
      <c r="C122" s="40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0"/>
      <c r="R122" s="40"/>
      <c r="S122" s="40"/>
      <c r="T122" s="73">
        <v>76600</v>
      </c>
      <c r="U122" s="41"/>
      <c r="V122" s="145" t="s">
        <v>102</v>
      </c>
      <c r="W122" s="42"/>
      <c r="X122" s="2">
        <v>53.9</v>
      </c>
      <c r="Y122" s="113"/>
      <c r="Z122" s="43"/>
      <c r="AA122" s="40"/>
      <c r="AB122" s="40"/>
      <c r="AC122" s="43"/>
      <c r="AD122" s="43"/>
      <c r="AE122" s="43"/>
      <c r="AF122" s="43"/>
      <c r="AG122" s="75">
        <v>44711</v>
      </c>
      <c r="AH122" s="75">
        <v>44711</v>
      </c>
      <c r="AI122" s="77">
        <v>44747</v>
      </c>
      <c r="AJ122" s="79">
        <v>44753</v>
      </c>
      <c r="AK122" s="79">
        <v>44753</v>
      </c>
      <c r="AL122" s="135" t="s">
        <v>31</v>
      </c>
      <c r="AM122" s="73">
        <v>76600</v>
      </c>
      <c r="AN122" s="96"/>
      <c r="AO122" s="96"/>
      <c r="AP122" s="73">
        <v>75000</v>
      </c>
      <c r="AQ122" s="44"/>
      <c r="AR122" s="114"/>
      <c r="AS122" s="98"/>
      <c r="AT122" s="98"/>
      <c r="AU122" s="98"/>
      <c r="AV122" s="98"/>
      <c r="AW122" s="98"/>
      <c r="AX122" s="98"/>
      <c r="AY122" s="98"/>
      <c r="AZ122" s="115"/>
    </row>
    <row r="123" spans="1:52" s="19" customFormat="1" ht="12.6" customHeight="1" x14ac:dyDescent="0.2">
      <c r="A123" s="72" t="s">
        <v>145</v>
      </c>
      <c r="B123" s="72" t="s">
        <v>118</v>
      </c>
      <c r="C123" s="40"/>
      <c r="D123" s="40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0"/>
      <c r="R123" s="40"/>
      <c r="S123" s="40"/>
      <c r="T123" s="73">
        <v>3300</v>
      </c>
      <c r="U123" s="41"/>
      <c r="V123" s="145" t="s">
        <v>86</v>
      </c>
      <c r="W123" s="42"/>
      <c r="X123" s="2">
        <v>53.9</v>
      </c>
      <c r="Y123" s="113"/>
      <c r="Z123" s="43"/>
      <c r="AA123" s="40"/>
      <c r="AB123" s="40"/>
      <c r="AC123" s="43"/>
      <c r="AD123" s="43"/>
      <c r="AE123" s="43"/>
      <c r="AF123" s="43"/>
      <c r="AG123" s="75">
        <v>44714</v>
      </c>
      <c r="AH123" s="75">
        <v>44714</v>
      </c>
      <c r="AI123" s="77">
        <v>44776</v>
      </c>
      <c r="AJ123" s="79">
        <v>44783</v>
      </c>
      <c r="AK123" s="79">
        <v>44783</v>
      </c>
      <c r="AL123" s="135" t="s">
        <v>31</v>
      </c>
      <c r="AM123" s="73">
        <v>3300</v>
      </c>
      <c r="AN123" s="96"/>
      <c r="AO123" s="96"/>
      <c r="AP123" s="73">
        <v>3220</v>
      </c>
      <c r="AQ123" s="44"/>
      <c r="AR123" s="114"/>
      <c r="AS123" s="98"/>
      <c r="AT123" s="98"/>
      <c r="AU123" s="98"/>
      <c r="AV123" s="98"/>
      <c r="AW123" s="98"/>
      <c r="AX123" s="98"/>
      <c r="AY123" s="98"/>
      <c r="AZ123" s="115"/>
    </row>
    <row r="124" spans="1:52" s="19" customFormat="1" ht="12.6" customHeight="1" x14ac:dyDescent="0.2">
      <c r="A124" s="72" t="s">
        <v>154</v>
      </c>
      <c r="B124" s="72" t="s">
        <v>131</v>
      </c>
      <c r="C124" s="40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0"/>
      <c r="R124" s="40"/>
      <c r="S124" s="40"/>
      <c r="T124" s="73">
        <f>20000+24600</f>
        <v>44600</v>
      </c>
      <c r="U124" s="41"/>
      <c r="V124" s="145" t="s">
        <v>90</v>
      </c>
      <c r="W124" s="42"/>
      <c r="X124" s="2">
        <v>53.9</v>
      </c>
      <c r="Y124" s="113"/>
      <c r="Z124" s="43"/>
      <c r="AA124" s="40"/>
      <c r="AB124" s="40"/>
      <c r="AC124" s="43"/>
      <c r="AD124" s="43"/>
      <c r="AE124" s="43"/>
      <c r="AF124" s="43"/>
      <c r="AG124" s="142">
        <v>44645</v>
      </c>
      <c r="AH124" s="142">
        <v>44645</v>
      </c>
      <c r="AI124" s="77">
        <v>44767</v>
      </c>
      <c r="AJ124" s="79">
        <v>44771</v>
      </c>
      <c r="AK124" s="79">
        <v>44771</v>
      </c>
      <c r="AL124" s="135" t="s">
        <v>31</v>
      </c>
      <c r="AM124" s="73">
        <f>20000+24600</f>
        <v>44600</v>
      </c>
      <c r="AN124" s="96"/>
      <c r="AO124" s="96"/>
      <c r="AP124" s="73">
        <f>19938+23880</f>
        <v>43818</v>
      </c>
      <c r="AQ124" s="44"/>
      <c r="AR124" s="114"/>
      <c r="AS124" s="98"/>
      <c r="AT124" s="98"/>
      <c r="AU124" s="98"/>
      <c r="AV124" s="98"/>
      <c r="AW124" s="98"/>
      <c r="AX124" s="98"/>
      <c r="AY124" s="98"/>
      <c r="AZ124" s="115"/>
    </row>
    <row r="125" spans="1:52" s="19" customFormat="1" ht="12.6" customHeight="1" x14ac:dyDescent="0.2">
      <c r="A125" s="72" t="s">
        <v>146</v>
      </c>
      <c r="B125" s="72" t="s">
        <v>121</v>
      </c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0"/>
      <c r="R125" s="40"/>
      <c r="S125" s="40"/>
      <c r="T125" s="73">
        <f>125000+30000</f>
        <v>155000</v>
      </c>
      <c r="U125" s="41"/>
      <c r="V125" s="145" t="s">
        <v>98</v>
      </c>
      <c r="W125" s="42"/>
      <c r="X125" s="2">
        <v>53.9</v>
      </c>
      <c r="Y125" s="113"/>
      <c r="Z125" s="43"/>
      <c r="AA125" s="40"/>
      <c r="AB125" s="40"/>
      <c r="AC125" s="43"/>
      <c r="AD125" s="43"/>
      <c r="AE125" s="43"/>
      <c r="AF125" s="43"/>
      <c r="AG125" s="76">
        <v>44687</v>
      </c>
      <c r="AH125" s="76">
        <v>44687</v>
      </c>
      <c r="AI125" s="77">
        <v>44705</v>
      </c>
      <c r="AJ125" s="79">
        <v>44712</v>
      </c>
      <c r="AK125" s="79">
        <v>44712</v>
      </c>
      <c r="AL125" s="135" t="s">
        <v>31</v>
      </c>
      <c r="AM125" s="73">
        <f>125000+30000</f>
        <v>155000</v>
      </c>
      <c r="AN125" s="96"/>
      <c r="AO125" s="96"/>
      <c r="AP125" s="73">
        <v>154174</v>
      </c>
      <c r="AQ125" s="44"/>
      <c r="AR125" s="114"/>
      <c r="AS125" s="98"/>
      <c r="AT125" s="98"/>
      <c r="AU125" s="98"/>
      <c r="AV125" s="98"/>
      <c r="AW125" s="98"/>
      <c r="AX125" s="98"/>
      <c r="AY125" s="98"/>
      <c r="AZ125" s="115"/>
    </row>
    <row r="126" spans="1:52" s="19" customFormat="1" ht="12.6" customHeight="1" x14ac:dyDescent="0.2">
      <c r="A126" s="72" t="s">
        <v>140</v>
      </c>
      <c r="B126" s="72" t="s">
        <v>115</v>
      </c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0"/>
      <c r="R126" s="40"/>
      <c r="S126" s="40"/>
      <c r="T126" s="73">
        <v>78000</v>
      </c>
      <c r="U126" s="41"/>
      <c r="V126" s="145" t="s">
        <v>86</v>
      </c>
      <c r="W126" s="42"/>
      <c r="X126" s="2">
        <v>53.9</v>
      </c>
      <c r="Y126" s="113"/>
      <c r="Z126" s="43"/>
      <c r="AA126" s="40"/>
      <c r="AB126" s="40"/>
      <c r="AC126" s="43"/>
      <c r="AD126" s="43"/>
      <c r="AE126" s="43"/>
      <c r="AF126" s="43"/>
      <c r="AG126" s="76">
        <v>44718</v>
      </c>
      <c r="AH126" s="76">
        <v>44718</v>
      </c>
      <c r="AI126" s="77">
        <v>44757</v>
      </c>
      <c r="AJ126" s="79">
        <v>44764</v>
      </c>
      <c r="AK126" s="79">
        <v>44764</v>
      </c>
      <c r="AL126" s="135" t="s">
        <v>31</v>
      </c>
      <c r="AM126" s="73">
        <v>78000</v>
      </c>
      <c r="AN126" s="96"/>
      <c r="AO126" s="96"/>
      <c r="AP126" s="73">
        <f>9910+67435</f>
        <v>77345</v>
      </c>
      <c r="AQ126" s="44"/>
      <c r="AR126" s="114"/>
      <c r="AS126" s="98"/>
      <c r="AT126" s="98"/>
      <c r="AU126" s="98"/>
      <c r="AV126" s="98"/>
      <c r="AW126" s="98"/>
      <c r="AX126" s="98"/>
      <c r="AY126" s="98"/>
      <c r="AZ126" s="115"/>
    </row>
    <row r="127" spans="1:52" s="19" customFormat="1" ht="12.6" customHeight="1" x14ac:dyDescent="0.2">
      <c r="A127" s="72" t="s">
        <v>138</v>
      </c>
      <c r="B127" s="72" t="s">
        <v>125</v>
      </c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0"/>
      <c r="R127" s="40"/>
      <c r="S127" s="40"/>
      <c r="T127" s="73">
        <f>40500+70000+76500+20000+7000</f>
        <v>214000</v>
      </c>
      <c r="U127" s="41"/>
      <c r="V127" s="145" t="s">
        <v>98</v>
      </c>
      <c r="W127" s="42"/>
      <c r="X127" s="2">
        <v>53.9</v>
      </c>
      <c r="Y127" s="113"/>
      <c r="Z127" s="43"/>
      <c r="AA127" s="40"/>
      <c r="AB127" s="40"/>
      <c r="AC127" s="43"/>
      <c r="AD127" s="43"/>
      <c r="AE127" s="43"/>
      <c r="AF127" s="43"/>
      <c r="AG127" s="75">
        <v>44733</v>
      </c>
      <c r="AH127" s="75">
        <v>44733</v>
      </c>
      <c r="AI127" s="77">
        <v>44754</v>
      </c>
      <c r="AJ127" s="79">
        <v>44761</v>
      </c>
      <c r="AK127" s="79">
        <v>44761</v>
      </c>
      <c r="AL127" s="135" t="s">
        <v>31</v>
      </c>
      <c r="AM127" s="73">
        <f>40500+70000+76500+20000+7000</f>
        <v>214000</v>
      </c>
      <c r="AN127" s="96"/>
      <c r="AO127" s="96"/>
      <c r="AP127" s="73">
        <f>40330+69750+76166+19816+6980</f>
        <v>213042</v>
      </c>
      <c r="AQ127" s="44"/>
      <c r="AR127" s="114"/>
      <c r="AS127" s="98"/>
      <c r="AT127" s="98"/>
      <c r="AU127" s="98"/>
      <c r="AV127" s="98"/>
      <c r="AW127" s="98"/>
      <c r="AX127" s="98"/>
      <c r="AY127" s="98"/>
      <c r="AZ127" s="115"/>
    </row>
    <row r="128" spans="1:52" s="19" customFormat="1" ht="12.6" customHeight="1" x14ac:dyDescent="0.2">
      <c r="A128" s="72" t="s">
        <v>145</v>
      </c>
      <c r="B128" s="72" t="s">
        <v>118</v>
      </c>
      <c r="C128" s="40"/>
      <c r="D128" s="40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0"/>
      <c r="R128" s="40"/>
      <c r="S128" s="40"/>
      <c r="T128" s="73">
        <f>181000+15000</f>
        <v>196000</v>
      </c>
      <c r="U128" s="41"/>
      <c r="V128" s="145" t="s">
        <v>89</v>
      </c>
      <c r="W128" s="42"/>
      <c r="X128" s="2">
        <v>53.9</v>
      </c>
      <c r="Y128" s="113"/>
      <c r="Z128" s="43"/>
      <c r="AA128" s="40"/>
      <c r="AB128" s="40"/>
      <c r="AC128" s="43"/>
      <c r="AD128" s="43"/>
      <c r="AE128" s="43"/>
      <c r="AF128" s="43"/>
      <c r="AG128" s="142">
        <v>44627</v>
      </c>
      <c r="AH128" s="142">
        <v>44627</v>
      </c>
      <c r="AI128" s="77">
        <v>44718</v>
      </c>
      <c r="AJ128" s="79">
        <v>44725</v>
      </c>
      <c r="AK128" s="79">
        <v>44725</v>
      </c>
      <c r="AL128" s="135" t="s">
        <v>31</v>
      </c>
      <c r="AM128" s="73">
        <f>181000+15000</f>
        <v>196000</v>
      </c>
      <c r="AN128" s="96"/>
      <c r="AO128" s="96"/>
      <c r="AP128" s="73">
        <f>180100+14750</f>
        <v>194850</v>
      </c>
      <c r="AQ128" s="44"/>
      <c r="AR128" s="114"/>
      <c r="AS128" s="98"/>
      <c r="AT128" s="98"/>
      <c r="AU128" s="98"/>
      <c r="AV128" s="98"/>
      <c r="AW128" s="98"/>
      <c r="AX128" s="98"/>
      <c r="AY128" s="98"/>
      <c r="AZ128" s="115"/>
    </row>
    <row r="129" spans="1:52" s="19" customFormat="1" ht="12.6" customHeight="1" x14ac:dyDescent="0.2">
      <c r="A129" s="72" t="s">
        <v>142</v>
      </c>
      <c r="B129" s="72" t="s">
        <v>116</v>
      </c>
      <c r="C129" s="40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0"/>
      <c r="R129" s="40"/>
      <c r="S129" s="40"/>
      <c r="T129" s="73">
        <v>225000</v>
      </c>
      <c r="U129" s="41"/>
      <c r="V129" s="145" t="s">
        <v>167</v>
      </c>
      <c r="W129" s="42"/>
      <c r="X129" s="2">
        <v>53.9</v>
      </c>
      <c r="Y129" s="113"/>
      <c r="Z129" s="43"/>
      <c r="AA129" s="40"/>
      <c r="AB129" s="40"/>
      <c r="AC129" s="43"/>
      <c r="AD129" s="43"/>
      <c r="AE129" s="43"/>
      <c r="AF129" s="43"/>
      <c r="AG129" s="75">
        <v>44718</v>
      </c>
      <c r="AH129" s="75">
        <v>44718</v>
      </c>
      <c r="AI129" s="77">
        <v>44763</v>
      </c>
      <c r="AJ129" s="79">
        <v>44770</v>
      </c>
      <c r="AK129" s="79">
        <v>44770</v>
      </c>
      <c r="AL129" s="135" t="s">
        <v>31</v>
      </c>
      <c r="AM129" s="73">
        <v>225000</v>
      </c>
      <c r="AN129" s="96"/>
      <c r="AO129" s="96"/>
      <c r="AP129" s="73">
        <v>224655</v>
      </c>
      <c r="AQ129" s="44"/>
      <c r="AR129" s="114"/>
      <c r="AS129" s="98"/>
      <c r="AT129" s="98"/>
      <c r="AU129" s="98"/>
      <c r="AV129" s="98"/>
      <c r="AW129" s="98"/>
      <c r="AX129" s="98"/>
      <c r="AY129" s="98"/>
      <c r="AZ129" s="115"/>
    </row>
    <row r="130" spans="1:52" s="19" customFormat="1" ht="12.6" customHeight="1" x14ac:dyDescent="0.2">
      <c r="A130" s="72" t="s">
        <v>145</v>
      </c>
      <c r="B130" s="72" t="s">
        <v>118</v>
      </c>
      <c r="C130" s="40"/>
      <c r="D130" s="40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0"/>
      <c r="R130" s="40"/>
      <c r="S130" s="40"/>
      <c r="T130" s="73">
        <v>40000</v>
      </c>
      <c r="U130" s="41"/>
      <c r="V130" s="145" t="s">
        <v>92</v>
      </c>
      <c r="W130" s="42"/>
      <c r="X130" s="2">
        <v>53.9</v>
      </c>
      <c r="Y130" s="113"/>
      <c r="Z130" s="43"/>
      <c r="AA130" s="40"/>
      <c r="AB130" s="40"/>
      <c r="AC130" s="43"/>
      <c r="AD130" s="43"/>
      <c r="AE130" s="43"/>
      <c r="AF130" s="43"/>
      <c r="AG130" s="75">
        <v>44728</v>
      </c>
      <c r="AH130" s="75">
        <v>44728</v>
      </c>
      <c r="AI130" s="77">
        <v>44747</v>
      </c>
      <c r="AJ130" s="79">
        <v>44754</v>
      </c>
      <c r="AK130" s="79">
        <v>44754</v>
      </c>
      <c r="AL130" s="135" t="s">
        <v>31</v>
      </c>
      <c r="AM130" s="73">
        <v>40000</v>
      </c>
      <c r="AN130" s="96"/>
      <c r="AO130" s="96"/>
      <c r="AP130" s="73">
        <v>39520</v>
      </c>
      <c r="AQ130" s="44"/>
      <c r="AR130" s="114"/>
      <c r="AS130" s="98"/>
      <c r="AT130" s="98"/>
      <c r="AU130" s="98"/>
      <c r="AV130" s="98"/>
      <c r="AW130" s="98"/>
      <c r="AX130" s="98"/>
      <c r="AY130" s="98"/>
      <c r="AZ130" s="115"/>
    </row>
    <row r="131" spans="1:52" s="19" customFormat="1" ht="12.6" customHeight="1" x14ac:dyDescent="0.2">
      <c r="A131" s="72" t="s">
        <v>141</v>
      </c>
      <c r="B131" s="72" t="s">
        <v>130</v>
      </c>
      <c r="C131" s="40"/>
      <c r="D131" s="40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0"/>
      <c r="R131" s="40"/>
      <c r="S131" s="40"/>
      <c r="T131" s="73">
        <f>87500+30000</f>
        <v>117500</v>
      </c>
      <c r="U131" s="41"/>
      <c r="V131" s="145" t="s">
        <v>88</v>
      </c>
      <c r="W131" s="42"/>
      <c r="X131" s="2">
        <v>53.9</v>
      </c>
      <c r="Y131" s="113"/>
      <c r="Z131" s="43"/>
      <c r="AA131" s="40"/>
      <c r="AB131" s="40"/>
      <c r="AC131" s="43"/>
      <c r="AD131" s="43"/>
      <c r="AE131" s="43"/>
      <c r="AF131" s="43"/>
      <c r="AG131" s="142">
        <v>44613</v>
      </c>
      <c r="AH131" s="142">
        <v>44613</v>
      </c>
      <c r="AI131" s="77">
        <v>44775</v>
      </c>
      <c r="AJ131" s="79">
        <v>44781</v>
      </c>
      <c r="AK131" s="79">
        <v>44781</v>
      </c>
      <c r="AL131" s="135" t="s">
        <v>31</v>
      </c>
      <c r="AM131" s="73">
        <f>87500+30000</f>
        <v>117500</v>
      </c>
      <c r="AN131" s="96"/>
      <c r="AO131" s="96"/>
      <c r="AP131" s="73">
        <v>115863</v>
      </c>
      <c r="AQ131" s="44"/>
      <c r="AR131" s="114"/>
      <c r="AS131" s="98"/>
      <c r="AT131" s="98"/>
      <c r="AU131" s="98"/>
      <c r="AV131" s="98"/>
      <c r="AW131" s="98"/>
      <c r="AX131" s="98"/>
      <c r="AY131" s="98"/>
      <c r="AZ131" s="115"/>
    </row>
    <row r="132" spans="1:52" s="19" customFormat="1" ht="12.6" customHeight="1" x14ac:dyDescent="0.2">
      <c r="A132" s="72" t="s">
        <v>143</v>
      </c>
      <c r="B132" s="72" t="s">
        <v>185</v>
      </c>
      <c r="C132" s="40"/>
      <c r="D132" s="40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0"/>
      <c r="R132" s="40"/>
      <c r="S132" s="40"/>
      <c r="T132" s="73">
        <v>16500</v>
      </c>
      <c r="U132" s="41"/>
      <c r="V132" s="145" t="s">
        <v>101</v>
      </c>
      <c r="W132" s="42"/>
      <c r="X132" s="2">
        <v>53.9</v>
      </c>
      <c r="Y132" s="113"/>
      <c r="Z132" s="43"/>
      <c r="AA132" s="40"/>
      <c r="AB132" s="40"/>
      <c r="AC132" s="43"/>
      <c r="AD132" s="43"/>
      <c r="AE132" s="43"/>
      <c r="AF132" s="43"/>
      <c r="AG132" s="75">
        <v>44809</v>
      </c>
      <c r="AH132" s="75">
        <v>44809</v>
      </c>
      <c r="AI132" s="77">
        <v>44820</v>
      </c>
      <c r="AJ132" s="148">
        <v>44827</v>
      </c>
      <c r="AK132" s="148">
        <v>44827</v>
      </c>
      <c r="AL132" s="135" t="s">
        <v>31</v>
      </c>
      <c r="AM132" s="73">
        <v>16500</v>
      </c>
      <c r="AN132" s="96"/>
      <c r="AO132" s="96"/>
      <c r="AP132" s="73">
        <v>16374</v>
      </c>
      <c r="AQ132" s="44"/>
      <c r="AR132" s="114"/>
      <c r="AS132" s="98"/>
      <c r="AT132" s="98"/>
      <c r="AU132" s="98"/>
      <c r="AV132" s="98"/>
      <c r="AW132" s="98"/>
      <c r="AX132" s="98"/>
      <c r="AY132" s="98"/>
      <c r="AZ132" s="115"/>
    </row>
    <row r="133" spans="1:52" s="19" customFormat="1" ht="12.6" customHeight="1" x14ac:dyDescent="0.2">
      <c r="A133" s="72" t="s">
        <v>143</v>
      </c>
      <c r="B133" s="72" t="s">
        <v>128</v>
      </c>
      <c r="C133" s="40"/>
      <c r="D133" s="40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0"/>
      <c r="R133" s="40"/>
      <c r="S133" s="40"/>
      <c r="T133" s="73">
        <v>4250</v>
      </c>
      <c r="U133" s="41"/>
      <c r="V133" s="145" t="s">
        <v>80</v>
      </c>
      <c r="W133" s="42"/>
      <c r="X133" s="2">
        <v>53.9</v>
      </c>
      <c r="Y133" s="113"/>
      <c r="Z133" s="43"/>
      <c r="AA133" s="40"/>
      <c r="AB133" s="40"/>
      <c r="AC133" s="43"/>
      <c r="AD133" s="43"/>
      <c r="AE133" s="43"/>
      <c r="AF133" s="43"/>
      <c r="AG133" s="75">
        <v>44701</v>
      </c>
      <c r="AH133" s="75">
        <v>44701</v>
      </c>
      <c r="AI133" s="77">
        <v>44745</v>
      </c>
      <c r="AJ133" s="79">
        <v>44757</v>
      </c>
      <c r="AK133" s="79">
        <v>44757</v>
      </c>
      <c r="AL133" s="135" t="s">
        <v>31</v>
      </c>
      <c r="AM133" s="73">
        <v>4250</v>
      </c>
      <c r="AN133" s="96"/>
      <c r="AO133" s="96"/>
      <c r="AP133" s="73">
        <v>4211</v>
      </c>
      <c r="AQ133" s="44"/>
      <c r="AR133" s="114"/>
      <c r="AS133" s="98"/>
      <c r="AT133" s="98"/>
      <c r="AU133" s="98"/>
      <c r="AV133" s="98"/>
      <c r="AW133" s="98"/>
      <c r="AX133" s="98"/>
      <c r="AY133" s="98"/>
      <c r="AZ133" s="115"/>
    </row>
    <row r="134" spans="1:52" s="19" customFormat="1" ht="12.6" customHeight="1" x14ac:dyDescent="0.2">
      <c r="A134" s="72" t="s">
        <v>143</v>
      </c>
      <c r="B134" s="72" t="s">
        <v>186</v>
      </c>
      <c r="C134" s="40"/>
      <c r="D134" s="40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0"/>
      <c r="R134" s="40"/>
      <c r="S134" s="40"/>
      <c r="T134" s="73">
        <v>98800</v>
      </c>
      <c r="U134" s="41"/>
      <c r="V134" s="145" t="s">
        <v>86</v>
      </c>
      <c r="W134" s="42"/>
      <c r="X134" s="2">
        <v>53.9</v>
      </c>
      <c r="Y134" s="113"/>
      <c r="Z134" s="43"/>
      <c r="AA134" s="40"/>
      <c r="AB134" s="40"/>
      <c r="AC134" s="43"/>
      <c r="AD134" s="43"/>
      <c r="AE134" s="43"/>
      <c r="AF134" s="43"/>
      <c r="AG134" s="76">
        <v>44671</v>
      </c>
      <c r="AH134" s="76">
        <v>44671</v>
      </c>
      <c r="AI134" s="77">
        <v>44764</v>
      </c>
      <c r="AJ134" s="79">
        <v>44771</v>
      </c>
      <c r="AK134" s="79">
        <v>44771</v>
      </c>
      <c r="AL134" s="135" t="s">
        <v>31</v>
      </c>
      <c r="AM134" s="73">
        <v>98800</v>
      </c>
      <c r="AN134" s="96"/>
      <c r="AO134" s="96"/>
      <c r="AP134" s="73">
        <v>97308</v>
      </c>
      <c r="AQ134" s="44"/>
      <c r="AR134" s="114"/>
      <c r="AS134" s="98"/>
      <c r="AT134" s="98"/>
      <c r="AU134" s="98"/>
      <c r="AV134" s="98"/>
      <c r="AW134" s="98"/>
      <c r="AX134" s="98"/>
      <c r="AY134" s="98"/>
      <c r="AZ134" s="115"/>
    </row>
    <row r="135" spans="1:52" s="19" customFormat="1" ht="12.6" customHeight="1" x14ac:dyDescent="0.2">
      <c r="A135" s="72" t="s">
        <v>142</v>
      </c>
      <c r="B135" s="72" t="s">
        <v>187</v>
      </c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0"/>
      <c r="R135" s="40"/>
      <c r="S135" s="40"/>
      <c r="T135" s="73">
        <v>22500</v>
      </c>
      <c r="U135" s="41"/>
      <c r="V135" s="145" t="s">
        <v>94</v>
      </c>
      <c r="W135" s="42"/>
      <c r="X135" s="2">
        <v>53.9</v>
      </c>
      <c r="Y135" s="113"/>
      <c r="Z135" s="43"/>
      <c r="AA135" s="40"/>
      <c r="AB135" s="40"/>
      <c r="AC135" s="43"/>
      <c r="AD135" s="43"/>
      <c r="AE135" s="43"/>
      <c r="AF135" s="43"/>
      <c r="AG135" s="75">
        <v>44809</v>
      </c>
      <c r="AH135" s="75">
        <v>44809</v>
      </c>
      <c r="AI135" s="77">
        <v>44820</v>
      </c>
      <c r="AJ135" s="77">
        <v>44827</v>
      </c>
      <c r="AK135" s="77">
        <v>44827</v>
      </c>
      <c r="AL135" s="135" t="s">
        <v>31</v>
      </c>
      <c r="AM135" s="73">
        <v>22500</v>
      </c>
      <c r="AN135" s="96"/>
      <c r="AO135" s="96"/>
      <c r="AP135" s="73">
        <v>22410</v>
      </c>
      <c r="AQ135" s="44"/>
      <c r="AR135" s="114"/>
      <c r="AS135" s="98"/>
      <c r="AT135" s="98"/>
      <c r="AU135" s="98"/>
      <c r="AV135" s="98"/>
      <c r="AW135" s="98"/>
      <c r="AX135" s="98"/>
      <c r="AY135" s="98"/>
      <c r="AZ135" s="115"/>
    </row>
    <row r="136" spans="1:52" s="19" customFormat="1" ht="12.6" customHeight="1" x14ac:dyDescent="0.2">
      <c r="A136" s="72" t="s">
        <v>150</v>
      </c>
      <c r="B136" s="72" t="s">
        <v>188</v>
      </c>
      <c r="C136" s="40"/>
      <c r="D136" s="40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0"/>
      <c r="R136" s="40"/>
      <c r="S136" s="40"/>
      <c r="T136" s="73">
        <v>9000</v>
      </c>
      <c r="U136" s="41"/>
      <c r="V136" s="149" t="s">
        <v>80</v>
      </c>
      <c r="W136" s="42"/>
      <c r="X136" s="2">
        <v>53.9</v>
      </c>
      <c r="Y136" s="113"/>
      <c r="Z136" s="43"/>
      <c r="AA136" s="40"/>
      <c r="AB136" s="40"/>
      <c r="AC136" s="43"/>
      <c r="AD136" s="43"/>
      <c r="AE136" s="43"/>
      <c r="AF136" s="43"/>
      <c r="AG136" s="75">
        <v>44809</v>
      </c>
      <c r="AH136" s="75">
        <v>44809</v>
      </c>
      <c r="AI136" s="77">
        <v>44820</v>
      </c>
      <c r="AJ136" s="77">
        <v>44827</v>
      </c>
      <c r="AK136" s="77">
        <v>44827</v>
      </c>
      <c r="AL136" s="135" t="s">
        <v>31</v>
      </c>
      <c r="AM136" s="73">
        <v>9000</v>
      </c>
      <c r="AN136" s="96"/>
      <c r="AO136" s="96"/>
      <c r="AP136" s="73">
        <v>8964</v>
      </c>
      <c r="AQ136" s="44"/>
      <c r="AR136" s="114"/>
      <c r="AS136" s="98"/>
      <c r="AT136" s="98"/>
      <c r="AU136" s="98"/>
      <c r="AV136" s="98"/>
      <c r="AW136" s="98"/>
      <c r="AX136" s="98"/>
      <c r="AY136" s="98"/>
      <c r="AZ136" s="115"/>
    </row>
    <row r="137" spans="1:52" s="19" customFormat="1" ht="12.6" customHeight="1" x14ac:dyDescent="0.2">
      <c r="A137" s="72" t="s">
        <v>136</v>
      </c>
      <c r="B137" s="72" t="s">
        <v>189</v>
      </c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0"/>
      <c r="R137" s="40"/>
      <c r="S137" s="40"/>
      <c r="T137" s="73">
        <v>9000</v>
      </c>
      <c r="U137" s="41"/>
      <c r="V137" s="149" t="s">
        <v>80</v>
      </c>
      <c r="W137" s="42"/>
      <c r="X137" s="2">
        <v>53.9</v>
      </c>
      <c r="Y137" s="113"/>
      <c r="Z137" s="43"/>
      <c r="AA137" s="40"/>
      <c r="AB137" s="40"/>
      <c r="AC137" s="43"/>
      <c r="AD137" s="43"/>
      <c r="AE137" s="43"/>
      <c r="AF137" s="43"/>
      <c r="AG137" s="75">
        <v>44809</v>
      </c>
      <c r="AH137" s="75">
        <v>44809</v>
      </c>
      <c r="AI137" s="77">
        <v>44820</v>
      </c>
      <c r="AJ137" s="77">
        <v>44827</v>
      </c>
      <c r="AK137" s="77">
        <v>44827</v>
      </c>
      <c r="AL137" s="135" t="s">
        <v>31</v>
      </c>
      <c r="AM137" s="73">
        <v>9000</v>
      </c>
      <c r="AN137" s="96"/>
      <c r="AO137" s="96"/>
      <c r="AP137" s="73">
        <v>8964</v>
      </c>
      <c r="AQ137" s="44"/>
      <c r="AR137" s="114"/>
      <c r="AS137" s="98"/>
      <c r="AT137" s="98"/>
      <c r="AU137" s="98"/>
      <c r="AV137" s="98"/>
      <c r="AW137" s="98"/>
      <c r="AX137" s="98"/>
      <c r="AY137" s="98"/>
      <c r="AZ137" s="115"/>
    </row>
    <row r="138" spans="1:52" s="19" customFormat="1" ht="12.6" customHeight="1" x14ac:dyDescent="0.2">
      <c r="A138" s="72" t="s">
        <v>145</v>
      </c>
      <c r="B138" s="72" t="s">
        <v>118</v>
      </c>
      <c r="C138" s="40"/>
      <c r="D138" s="40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0"/>
      <c r="R138" s="40"/>
      <c r="S138" s="40"/>
      <c r="T138" s="73">
        <v>325000</v>
      </c>
      <c r="U138" s="41"/>
      <c r="V138" s="149" t="s">
        <v>80</v>
      </c>
      <c r="W138" s="42"/>
      <c r="X138" s="2">
        <v>53.9</v>
      </c>
      <c r="Y138" s="113"/>
      <c r="Z138" s="43"/>
      <c r="AA138" s="40"/>
      <c r="AB138" s="40"/>
      <c r="AC138" s="43"/>
      <c r="AD138" s="43"/>
      <c r="AE138" s="43"/>
      <c r="AF138" s="43"/>
      <c r="AG138" s="75">
        <v>44726</v>
      </c>
      <c r="AH138" s="75">
        <v>44726</v>
      </c>
      <c r="AI138" s="77">
        <v>44796</v>
      </c>
      <c r="AJ138" s="79">
        <v>44803</v>
      </c>
      <c r="AK138" s="79">
        <v>44803</v>
      </c>
      <c r="AL138" s="135" t="s">
        <v>31</v>
      </c>
      <c r="AM138" s="73">
        <v>325000</v>
      </c>
      <c r="AN138" s="96"/>
      <c r="AO138" s="96"/>
      <c r="AP138" s="73">
        <v>324469</v>
      </c>
      <c r="AQ138" s="44"/>
      <c r="AR138" s="114"/>
      <c r="AS138" s="98"/>
      <c r="AT138" s="98"/>
      <c r="AU138" s="98"/>
      <c r="AV138" s="98"/>
      <c r="AW138" s="98"/>
      <c r="AX138" s="98"/>
      <c r="AY138" s="98"/>
      <c r="AZ138" s="115"/>
    </row>
    <row r="139" spans="1:52" s="19" customFormat="1" ht="12.6" customHeight="1" x14ac:dyDescent="0.2">
      <c r="A139" s="72" t="s">
        <v>137</v>
      </c>
      <c r="B139" s="72" t="s">
        <v>112</v>
      </c>
      <c r="C139" s="40"/>
      <c r="D139" s="40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0"/>
      <c r="R139" s="40"/>
      <c r="S139" s="40"/>
      <c r="T139" s="73">
        <v>6000</v>
      </c>
      <c r="U139" s="41"/>
      <c r="V139" s="145" t="s">
        <v>90</v>
      </c>
      <c r="W139" s="42"/>
      <c r="X139" s="2">
        <v>53.9</v>
      </c>
      <c r="Y139" s="113"/>
      <c r="Z139" s="43"/>
      <c r="AA139" s="40"/>
      <c r="AB139" s="40"/>
      <c r="AC139" s="43"/>
      <c r="AD139" s="43"/>
      <c r="AE139" s="43"/>
      <c r="AF139" s="43"/>
      <c r="AG139" s="75">
        <v>44809</v>
      </c>
      <c r="AH139" s="75">
        <v>44809</v>
      </c>
      <c r="AI139" s="77">
        <v>44820</v>
      </c>
      <c r="AJ139" s="77">
        <v>44827</v>
      </c>
      <c r="AK139" s="77">
        <v>44827</v>
      </c>
      <c r="AL139" s="135" t="s">
        <v>31</v>
      </c>
      <c r="AM139" s="73">
        <v>6000</v>
      </c>
      <c r="AN139" s="96"/>
      <c r="AO139" s="96"/>
      <c r="AP139" s="73">
        <v>5810</v>
      </c>
      <c r="AQ139" s="44"/>
      <c r="AR139" s="114"/>
      <c r="AS139" s="98"/>
      <c r="AT139" s="98"/>
      <c r="AU139" s="98"/>
      <c r="AV139" s="98"/>
      <c r="AW139" s="98"/>
      <c r="AX139" s="98"/>
      <c r="AY139" s="98"/>
      <c r="AZ139" s="115"/>
    </row>
    <row r="140" spans="1:52" s="19" customFormat="1" ht="12.6" customHeight="1" x14ac:dyDescent="0.2">
      <c r="A140" s="72" t="s">
        <v>141</v>
      </c>
      <c r="B140" s="72" t="s">
        <v>190</v>
      </c>
      <c r="C140" s="40"/>
      <c r="D140" s="40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0"/>
      <c r="R140" s="40"/>
      <c r="S140" s="40"/>
      <c r="T140" s="73">
        <v>70000</v>
      </c>
      <c r="U140" s="41"/>
      <c r="V140" s="145" t="s">
        <v>80</v>
      </c>
      <c r="W140" s="42"/>
      <c r="X140" s="2">
        <v>53.9</v>
      </c>
      <c r="Y140" s="113"/>
      <c r="Z140" s="43"/>
      <c r="AA140" s="40"/>
      <c r="AB140" s="40"/>
      <c r="AC140" s="43"/>
      <c r="AD140" s="43"/>
      <c r="AE140" s="43"/>
      <c r="AF140" s="43"/>
      <c r="AG140" s="75">
        <v>44810</v>
      </c>
      <c r="AH140" s="75">
        <v>44810</v>
      </c>
      <c r="AI140" s="77">
        <v>44833</v>
      </c>
      <c r="AJ140" s="77">
        <v>44839</v>
      </c>
      <c r="AK140" s="77">
        <v>44839</v>
      </c>
      <c r="AL140" s="135" t="s">
        <v>31</v>
      </c>
      <c r="AM140" s="73">
        <v>70000</v>
      </c>
      <c r="AN140" s="96"/>
      <c r="AO140" s="96"/>
      <c r="AP140" s="73">
        <v>69310</v>
      </c>
      <c r="AQ140" s="44"/>
      <c r="AR140" s="114"/>
      <c r="AS140" s="98"/>
      <c r="AT140" s="98"/>
      <c r="AU140" s="98"/>
      <c r="AV140" s="98"/>
      <c r="AW140" s="98"/>
      <c r="AX140" s="98"/>
      <c r="AY140" s="98"/>
      <c r="AZ140" s="115"/>
    </row>
    <row r="141" spans="1:52" s="19" customFormat="1" ht="12.6" customHeight="1" x14ac:dyDescent="0.2">
      <c r="A141" s="72" t="s">
        <v>191</v>
      </c>
      <c r="B141" s="72" t="s">
        <v>192</v>
      </c>
      <c r="C141" s="40"/>
      <c r="D141" s="40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0"/>
      <c r="R141" s="40"/>
      <c r="S141" s="40"/>
      <c r="T141" s="73">
        <v>14250</v>
      </c>
      <c r="U141" s="41"/>
      <c r="V141" s="149" t="s">
        <v>78</v>
      </c>
      <c r="W141" s="42"/>
      <c r="X141" s="2">
        <v>53.9</v>
      </c>
      <c r="Y141" s="113"/>
      <c r="Z141" s="43"/>
      <c r="AA141" s="40"/>
      <c r="AB141" s="40"/>
      <c r="AC141" s="43"/>
      <c r="AD141" s="43"/>
      <c r="AE141" s="43"/>
      <c r="AF141" s="43"/>
      <c r="AG141" s="75">
        <v>44810</v>
      </c>
      <c r="AH141" s="75">
        <v>44810</v>
      </c>
      <c r="AI141" s="77">
        <v>44833</v>
      </c>
      <c r="AJ141" s="77">
        <v>44839</v>
      </c>
      <c r="AK141" s="77">
        <v>44839</v>
      </c>
      <c r="AL141" s="135" t="s">
        <v>31</v>
      </c>
      <c r="AM141" s="73">
        <v>14250</v>
      </c>
      <c r="AN141" s="96"/>
      <c r="AO141" s="96"/>
      <c r="AP141" s="73">
        <v>14000</v>
      </c>
      <c r="AQ141" s="44"/>
      <c r="AR141" s="114"/>
      <c r="AS141" s="98"/>
      <c r="AT141" s="98"/>
      <c r="AU141" s="98"/>
      <c r="AV141" s="98"/>
      <c r="AW141" s="98"/>
      <c r="AX141" s="98"/>
      <c r="AY141" s="98"/>
      <c r="AZ141" s="115"/>
    </row>
    <row r="142" spans="1:52" s="19" customFormat="1" ht="12.6" customHeight="1" x14ac:dyDescent="0.2">
      <c r="A142" s="72" t="s">
        <v>146</v>
      </c>
      <c r="B142" s="72" t="s">
        <v>121</v>
      </c>
      <c r="C142" s="40"/>
      <c r="D142" s="40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0"/>
      <c r="R142" s="40"/>
      <c r="S142" s="40"/>
      <c r="T142" s="73">
        <v>248900</v>
      </c>
      <c r="U142" s="41"/>
      <c r="V142" s="149" t="s">
        <v>78</v>
      </c>
      <c r="W142" s="42"/>
      <c r="X142" s="2">
        <v>53.9</v>
      </c>
      <c r="Y142" s="113"/>
      <c r="Z142" s="43"/>
      <c r="AA142" s="40"/>
      <c r="AB142" s="40"/>
      <c r="AC142" s="43"/>
      <c r="AD142" s="43"/>
      <c r="AE142" s="43"/>
      <c r="AF142" s="43"/>
      <c r="AG142" s="75">
        <v>44733</v>
      </c>
      <c r="AH142" s="75">
        <v>44733</v>
      </c>
      <c r="AI142" s="77">
        <v>44761</v>
      </c>
      <c r="AJ142" s="79">
        <v>44768</v>
      </c>
      <c r="AK142" s="79">
        <v>44768</v>
      </c>
      <c r="AL142" s="135" t="s">
        <v>31</v>
      </c>
      <c r="AM142" s="73">
        <v>248900</v>
      </c>
      <c r="AN142" s="96"/>
      <c r="AO142" s="96"/>
      <c r="AP142" s="73">
        <v>246925</v>
      </c>
      <c r="AQ142" s="44"/>
      <c r="AR142" s="114"/>
      <c r="AS142" s="98"/>
      <c r="AT142" s="98"/>
      <c r="AU142" s="98"/>
      <c r="AV142" s="98"/>
      <c r="AW142" s="98"/>
      <c r="AX142" s="98"/>
      <c r="AY142" s="98"/>
      <c r="AZ142" s="115"/>
    </row>
    <row r="143" spans="1:52" s="19" customFormat="1" ht="12.6" customHeight="1" x14ac:dyDescent="0.2">
      <c r="A143" s="72" t="s">
        <v>143</v>
      </c>
      <c r="B143" s="72" t="s">
        <v>128</v>
      </c>
      <c r="C143" s="40"/>
      <c r="D143" s="40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0"/>
      <c r="R143" s="40"/>
      <c r="S143" s="40"/>
      <c r="T143" s="73">
        <f>33000</f>
        <v>33000</v>
      </c>
      <c r="U143" s="41"/>
      <c r="V143" s="145" t="s">
        <v>101</v>
      </c>
      <c r="W143" s="42"/>
      <c r="X143" s="2">
        <v>53.9</v>
      </c>
      <c r="Y143" s="113"/>
      <c r="Z143" s="43"/>
      <c r="AA143" s="40"/>
      <c r="AB143" s="40"/>
      <c r="AC143" s="43"/>
      <c r="AD143" s="43"/>
      <c r="AE143" s="43"/>
      <c r="AF143" s="43"/>
      <c r="AG143" s="76">
        <v>44656</v>
      </c>
      <c r="AH143" s="76">
        <v>44656</v>
      </c>
      <c r="AI143" s="77">
        <v>44725</v>
      </c>
      <c r="AJ143" s="79">
        <v>44732</v>
      </c>
      <c r="AK143" s="79">
        <v>44732</v>
      </c>
      <c r="AL143" s="135" t="s">
        <v>31</v>
      </c>
      <c r="AM143" s="73">
        <f>33000</f>
        <v>33000</v>
      </c>
      <c r="AN143" s="96"/>
      <c r="AO143" s="96"/>
      <c r="AP143" s="73">
        <f>1940+31000</f>
        <v>32940</v>
      </c>
      <c r="AQ143" s="44"/>
      <c r="AR143" s="114"/>
      <c r="AS143" s="98"/>
      <c r="AT143" s="98"/>
      <c r="AU143" s="98"/>
      <c r="AV143" s="98"/>
      <c r="AW143" s="98"/>
      <c r="AX143" s="98"/>
      <c r="AY143" s="98"/>
      <c r="AZ143" s="115"/>
    </row>
    <row r="144" spans="1:52" s="19" customFormat="1" ht="12.6" customHeight="1" x14ac:dyDescent="0.2">
      <c r="A144" s="72" t="s">
        <v>146</v>
      </c>
      <c r="B144" s="72" t="s">
        <v>121</v>
      </c>
      <c r="C144" s="40"/>
      <c r="D144" s="40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0"/>
      <c r="R144" s="40"/>
      <c r="S144" s="40"/>
      <c r="T144" s="73">
        <v>404000</v>
      </c>
      <c r="U144" s="41"/>
      <c r="V144" s="145" t="s">
        <v>95</v>
      </c>
      <c r="W144" s="42"/>
      <c r="X144" s="2">
        <v>53.9</v>
      </c>
      <c r="Y144" s="113"/>
      <c r="Z144" s="43"/>
      <c r="AA144" s="40"/>
      <c r="AB144" s="40"/>
      <c r="AC144" s="43"/>
      <c r="AD144" s="43"/>
      <c r="AE144" s="43"/>
      <c r="AF144" s="43"/>
      <c r="AG144" s="75">
        <v>44726</v>
      </c>
      <c r="AH144" s="75">
        <v>44726</v>
      </c>
      <c r="AI144" s="77">
        <v>44753</v>
      </c>
      <c r="AJ144" s="79">
        <v>44757</v>
      </c>
      <c r="AK144" s="79">
        <v>44757</v>
      </c>
      <c r="AL144" s="135" t="s">
        <v>31</v>
      </c>
      <c r="AM144" s="73">
        <v>404000</v>
      </c>
      <c r="AN144" s="96"/>
      <c r="AO144" s="96"/>
      <c r="AP144" s="73">
        <v>402721</v>
      </c>
      <c r="AQ144" s="44"/>
      <c r="AR144" s="114"/>
      <c r="AS144" s="98"/>
      <c r="AT144" s="98"/>
      <c r="AU144" s="98"/>
      <c r="AV144" s="98"/>
      <c r="AW144" s="98"/>
      <c r="AX144" s="98"/>
      <c r="AY144" s="98"/>
      <c r="AZ144" s="115"/>
    </row>
    <row r="145" spans="1:52" s="19" customFormat="1" ht="12.6" customHeight="1" x14ac:dyDescent="0.2">
      <c r="A145" s="72" t="s">
        <v>146</v>
      </c>
      <c r="B145" s="72" t="s">
        <v>121</v>
      </c>
      <c r="C145" s="40"/>
      <c r="D145" s="40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0"/>
      <c r="R145" s="40"/>
      <c r="S145" s="40"/>
      <c r="T145" s="73">
        <v>435600</v>
      </c>
      <c r="U145" s="41"/>
      <c r="V145" s="145" t="s">
        <v>86</v>
      </c>
      <c r="W145" s="42"/>
      <c r="X145" s="2">
        <v>53.9</v>
      </c>
      <c r="Y145" s="113"/>
      <c r="Z145" s="43"/>
      <c r="AA145" s="40"/>
      <c r="AB145" s="40"/>
      <c r="AC145" s="43"/>
      <c r="AD145" s="43"/>
      <c r="AE145" s="43"/>
      <c r="AF145" s="43"/>
      <c r="AG145" s="142">
        <v>44627</v>
      </c>
      <c r="AH145" s="142">
        <v>44627</v>
      </c>
      <c r="AI145" s="77">
        <v>44799</v>
      </c>
      <c r="AJ145" s="79">
        <v>44683</v>
      </c>
      <c r="AK145" s="79">
        <v>44683</v>
      </c>
      <c r="AL145" s="135" t="s">
        <v>31</v>
      </c>
      <c r="AM145" s="73">
        <v>435600</v>
      </c>
      <c r="AN145" s="96"/>
      <c r="AO145" s="96"/>
      <c r="AP145" s="73">
        <v>432520</v>
      </c>
      <c r="AQ145" s="44"/>
      <c r="AR145" s="114"/>
      <c r="AS145" s="98"/>
      <c r="AT145" s="98"/>
      <c r="AU145" s="98"/>
      <c r="AV145" s="98"/>
      <c r="AW145" s="98"/>
      <c r="AX145" s="98"/>
      <c r="AY145" s="98"/>
      <c r="AZ145" s="115"/>
    </row>
    <row r="146" spans="1:52" s="19" customFormat="1" ht="12.6" customHeight="1" x14ac:dyDescent="0.2">
      <c r="A146" s="72" t="s">
        <v>146</v>
      </c>
      <c r="B146" s="72" t="s">
        <v>121</v>
      </c>
      <c r="C146" s="40"/>
      <c r="D146" s="40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0"/>
      <c r="R146" s="40"/>
      <c r="S146" s="40"/>
      <c r="T146" s="73">
        <v>139089</v>
      </c>
      <c r="U146" s="41"/>
      <c r="V146" s="145" t="s">
        <v>97</v>
      </c>
      <c r="W146" s="42"/>
      <c r="X146" s="2">
        <v>53.9</v>
      </c>
      <c r="Y146" s="113"/>
      <c r="Z146" s="43"/>
      <c r="AA146" s="40"/>
      <c r="AB146" s="40"/>
      <c r="AC146" s="43"/>
      <c r="AD146" s="43"/>
      <c r="AE146" s="43"/>
      <c r="AF146" s="43"/>
      <c r="AG146" s="142">
        <v>44645</v>
      </c>
      <c r="AH146" s="142">
        <v>44645</v>
      </c>
      <c r="AI146" s="77">
        <v>44826</v>
      </c>
      <c r="AJ146" s="77">
        <v>44833</v>
      </c>
      <c r="AK146" s="77">
        <v>44833</v>
      </c>
      <c r="AL146" s="135" t="s">
        <v>31</v>
      </c>
      <c r="AM146" s="73">
        <v>139089</v>
      </c>
      <c r="AN146" s="96"/>
      <c r="AO146" s="96"/>
      <c r="AP146" s="73">
        <f>53293+84898</f>
        <v>138191</v>
      </c>
      <c r="AQ146" s="44"/>
      <c r="AR146" s="114"/>
      <c r="AS146" s="98"/>
      <c r="AT146" s="98"/>
      <c r="AU146" s="98"/>
      <c r="AV146" s="98"/>
      <c r="AW146" s="98"/>
      <c r="AX146" s="98"/>
      <c r="AY146" s="98"/>
      <c r="AZ146" s="115"/>
    </row>
    <row r="147" spans="1:52" s="19" customFormat="1" ht="12.6" customHeight="1" x14ac:dyDescent="0.2">
      <c r="A147" s="72" t="s">
        <v>150</v>
      </c>
      <c r="B147" s="72" t="s">
        <v>188</v>
      </c>
      <c r="C147" s="40"/>
      <c r="D147" s="40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0"/>
      <c r="R147" s="40"/>
      <c r="S147" s="40"/>
      <c r="T147" s="73">
        <v>8000</v>
      </c>
      <c r="U147" s="41"/>
      <c r="V147" s="145" t="s">
        <v>90</v>
      </c>
      <c r="W147" s="42"/>
      <c r="X147" s="2">
        <v>53.9</v>
      </c>
      <c r="Y147" s="113"/>
      <c r="Z147" s="43"/>
      <c r="AA147" s="40"/>
      <c r="AB147" s="40"/>
      <c r="AC147" s="43"/>
      <c r="AD147" s="43"/>
      <c r="AE147" s="43"/>
      <c r="AF147" s="43"/>
      <c r="AG147" s="75">
        <v>44810</v>
      </c>
      <c r="AH147" s="75">
        <v>44810</v>
      </c>
      <c r="AI147" s="77">
        <v>44833</v>
      </c>
      <c r="AJ147" s="77">
        <v>44839</v>
      </c>
      <c r="AK147" s="77">
        <v>44839</v>
      </c>
      <c r="AL147" s="135" t="s">
        <v>31</v>
      </c>
      <c r="AM147" s="73">
        <v>8000</v>
      </c>
      <c r="AN147" s="96"/>
      <c r="AO147" s="96"/>
      <c r="AP147" s="73">
        <v>7800</v>
      </c>
      <c r="AQ147" s="44"/>
      <c r="AR147" s="114"/>
      <c r="AS147" s="98"/>
      <c r="AT147" s="98"/>
      <c r="AU147" s="98"/>
      <c r="AV147" s="98"/>
      <c r="AW147" s="98"/>
      <c r="AX147" s="98"/>
      <c r="AY147" s="98"/>
      <c r="AZ147" s="115"/>
    </row>
    <row r="148" spans="1:52" s="19" customFormat="1" ht="12.6" customHeight="1" x14ac:dyDescent="0.2">
      <c r="A148" s="72" t="s">
        <v>136</v>
      </c>
      <c r="B148" s="72" t="s">
        <v>189</v>
      </c>
      <c r="C148" s="40"/>
      <c r="D148" s="40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0"/>
      <c r="R148" s="40"/>
      <c r="S148" s="40"/>
      <c r="T148" s="73">
        <v>3000</v>
      </c>
      <c r="U148" s="41"/>
      <c r="V148" s="149" t="s">
        <v>78</v>
      </c>
      <c r="W148" s="42"/>
      <c r="X148" s="2">
        <v>53.9</v>
      </c>
      <c r="Y148" s="113"/>
      <c r="Z148" s="43"/>
      <c r="AA148" s="40"/>
      <c r="AB148" s="40"/>
      <c r="AC148" s="43"/>
      <c r="AD148" s="43"/>
      <c r="AE148" s="43"/>
      <c r="AF148" s="43"/>
      <c r="AG148" s="75">
        <v>44810</v>
      </c>
      <c r="AH148" s="75">
        <v>44810</v>
      </c>
      <c r="AI148" s="77">
        <v>44833</v>
      </c>
      <c r="AJ148" s="77">
        <v>44839</v>
      </c>
      <c r="AK148" s="77">
        <v>44839</v>
      </c>
      <c r="AL148" s="135" t="s">
        <v>31</v>
      </c>
      <c r="AM148" s="73">
        <v>3000</v>
      </c>
      <c r="AN148" s="96"/>
      <c r="AO148" s="96"/>
      <c r="AP148" s="73">
        <v>2900</v>
      </c>
      <c r="AQ148" s="44"/>
      <c r="AR148" s="114"/>
      <c r="AS148" s="98"/>
      <c r="AT148" s="98"/>
      <c r="AU148" s="98"/>
      <c r="AV148" s="98"/>
      <c r="AW148" s="98"/>
      <c r="AX148" s="98"/>
      <c r="AY148" s="98"/>
      <c r="AZ148" s="115"/>
    </row>
    <row r="149" spans="1:52" s="19" customFormat="1" ht="12.6" customHeight="1" x14ac:dyDescent="0.2">
      <c r="A149" s="72" t="s">
        <v>140</v>
      </c>
      <c r="B149" s="72" t="s">
        <v>115</v>
      </c>
      <c r="C149" s="40"/>
      <c r="D149" s="40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0"/>
      <c r="R149" s="40"/>
      <c r="S149" s="40"/>
      <c r="T149" s="73">
        <v>15000</v>
      </c>
      <c r="U149" s="41"/>
      <c r="V149" s="149" t="s">
        <v>78</v>
      </c>
      <c r="W149" s="42"/>
      <c r="X149" s="2">
        <v>53.9</v>
      </c>
      <c r="Y149" s="113"/>
      <c r="Z149" s="43"/>
      <c r="AA149" s="40"/>
      <c r="AB149" s="40"/>
      <c r="AC149" s="43"/>
      <c r="AD149" s="43"/>
      <c r="AE149" s="43"/>
      <c r="AF149" s="43"/>
      <c r="AG149" s="75">
        <v>44810</v>
      </c>
      <c r="AH149" s="75">
        <v>44810</v>
      </c>
      <c r="AI149" s="77">
        <v>44823</v>
      </c>
      <c r="AJ149" s="77">
        <v>44830</v>
      </c>
      <c r="AK149" s="77">
        <v>44830</v>
      </c>
      <c r="AL149" s="135" t="s">
        <v>31</v>
      </c>
      <c r="AM149" s="73">
        <v>15000</v>
      </c>
      <c r="AN149" s="96"/>
      <c r="AO149" s="96"/>
      <c r="AP149" s="73">
        <v>14850</v>
      </c>
      <c r="AQ149" s="44"/>
      <c r="AR149" s="114"/>
      <c r="AS149" s="98"/>
      <c r="AT149" s="98"/>
      <c r="AU149" s="98"/>
      <c r="AV149" s="98"/>
      <c r="AW149" s="98"/>
      <c r="AX149" s="98"/>
      <c r="AY149" s="98"/>
      <c r="AZ149" s="115"/>
    </row>
    <row r="150" spans="1:52" s="19" customFormat="1" ht="12.6" customHeight="1" x14ac:dyDescent="0.2">
      <c r="A150" s="72" t="s">
        <v>138</v>
      </c>
      <c r="B150" s="72" t="s">
        <v>193</v>
      </c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0"/>
      <c r="R150" s="40"/>
      <c r="S150" s="40"/>
      <c r="T150" s="73">
        <v>143600</v>
      </c>
      <c r="U150" s="41"/>
      <c r="V150" s="150" t="s">
        <v>82</v>
      </c>
      <c r="W150" s="42"/>
      <c r="X150" s="2">
        <v>53.9</v>
      </c>
      <c r="Y150" s="113"/>
      <c r="Z150" s="43"/>
      <c r="AA150" s="40"/>
      <c r="AB150" s="40"/>
      <c r="AC150" s="43"/>
      <c r="AD150" s="43"/>
      <c r="AE150" s="43"/>
      <c r="AF150" s="43"/>
      <c r="AG150" s="142">
        <v>44603</v>
      </c>
      <c r="AH150" s="142">
        <v>44603</v>
      </c>
      <c r="AI150" s="77">
        <v>44706</v>
      </c>
      <c r="AJ150" s="79">
        <v>44713</v>
      </c>
      <c r="AK150" s="79">
        <v>44713</v>
      </c>
      <c r="AL150" s="135" t="s">
        <v>31</v>
      </c>
      <c r="AM150" s="73">
        <v>143600</v>
      </c>
      <c r="AN150" s="96"/>
      <c r="AO150" s="96"/>
      <c r="AP150" s="73">
        <v>140639</v>
      </c>
      <c r="AQ150" s="44"/>
      <c r="AR150" s="114"/>
      <c r="AS150" s="98"/>
      <c r="AT150" s="98"/>
      <c r="AU150" s="98"/>
      <c r="AV150" s="98"/>
      <c r="AW150" s="98"/>
      <c r="AX150" s="98"/>
      <c r="AY150" s="98"/>
      <c r="AZ150" s="115"/>
    </row>
    <row r="151" spans="1:52" s="19" customFormat="1" ht="12.6" customHeight="1" x14ac:dyDescent="0.2">
      <c r="A151" s="72" t="s">
        <v>142</v>
      </c>
      <c r="B151" s="72" t="s">
        <v>116</v>
      </c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0"/>
      <c r="R151" s="40"/>
      <c r="S151" s="40"/>
      <c r="T151" s="73">
        <f>9000+83498+9150+34550</f>
        <v>136198</v>
      </c>
      <c r="U151" s="41"/>
      <c r="V151" s="72" t="s">
        <v>78</v>
      </c>
      <c r="W151" s="42"/>
      <c r="X151" s="2">
        <v>53.9</v>
      </c>
      <c r="Y151" s="113"/>
      <c r="Z151" s="43"/>
      <c r="AA151" s="40"/>
      <c r="AB151" s="40"/>
      <c r="AC151" s="43"/>
      <c r="AD151" s="43"/>
      <c r="AE151" s="43"/>
      <c r="AF151" s="43"/>
      <c r="AG151" s="142">
        <v>44610</v>
      </c>
      <c r="AH151" s="142">
        <v>44610</v>
      </c>
      <c r="AI151" s="77">
        <v>44658</v>
      </c>
      <c r="AJ151" s="79">
        <v>44680</v>
      </c>
      <c r="AK151" s="79">
        <v>44680</v>
      </c>
      <c r="AL151" s="135" t="s">
        <v>31</v>
      </c>
      <c r="AM151" s="73">
        <f>9000+83498+9150+34550</f>
        <v>136198</v>
      </c>
      <c r="AN151" s="96"/>
      <c r="AO151" s="96"/>
      <c r="AP151" s="73">
        <f>8900+83066+8800+34100</f>
        <v>134866</v>
      </c>
      <c r="AQ151" s="44"/>
      <c r="AR151" s="114"/>
      <c r="AS151" s="98"/>
      <c r="AT151" s="98"/>
      <c r="AU151" s="98"/>
      <c r="AV151" s="98"/>
      <c r="AW151" s="98"/>
      <c r="AX151" s="98"/>
      <c r="AY151" s="98"/>
      <c r="AZ151" s="115"/>
    </row>
    <row r="152" spans="1:52" s="19" customFormat="1" ht="12.6" customHeight="1" x14ac:dyDescent="0.2">
      <c r="A152" s="72" t="s">
        <v>134</v>
      </c>
      <c r="B152" s="72" t="s">
        <v>110</v>
      </c>
      <c r="C152" s="40"/>
      <c r="D152" s="40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0"/>
      <c r="R152" s="40"/>
      <c r="S152" s="40"/>
      <c r="T152" s="73">
        <v>30000</v>
      </c>
      <c r="U152" s="41"/>
      <c r="V152" s="72" t="s">
        <v>87</v>
      </c>
      <c r="W152" s="42"/>
      <c r="X152" s="2">
        <v>53.9</v>
      </c>
      <c r="Y152" s="113"/>
      <c r="Z152" s="43"/>
      <c r="AA152" s="40"/>
      <c r="AB152" s="40"/>
      <c r="AC152" s="43"/>
      <c r="AD152" s="43"/>
      <c r="AE152" s="43"/>
      <c r="AF152" s="43"/>
      <c r="AG152" s="75">
        <v>44664</v>
      </c>
      <c r="AH152" s="75">
        <v>44664</v>
      </c>
      <c r="AI152" s="77">
        <v>44658</v>
      </c>
      <c r="AJ152" s="79">
        <v>44680</v>
      </c>
      <c r="AK152" s="79">
        <v>44680</v>
      </c>
      <c r="AL152" s="135" t="s">
        <v>31</v>
      </c>
      <c r="AM152" s="73">
        <v>30000</v>
      </c>
      <c r="AN152" s="96"/>
      <c r="AO152" s="96"/>
      <c r="AP152" s="73">
        <v>29400</v>
      </c>
      <c r="AQ152" s="44"/>
      <c r="AR152" s="114"/>
      <c r="AS152" s="98"/>
      <c r="AT152" s="98"/>
      <c r="AU152" s="98"/>
      <c r="AV152" s="98"/>
      <c r="AW152" s="98"/>
      <c r="AX152" s="98"/>
      <c r="AY152" s="98"/>
      <c r="AZ152" s="115"/>
    </row>
    <row r="153" spans="1:52" s="19" customFormat="1" ht="12.6" customHeight="1" x14ac:dyDescent="0.2">
      <c r="A153" s="72" t="s">
        <v>153</v>
      </c>
      <c r="B153" s="72" t="s">
        <v>127</v>
      </c>
      <c r="C153" s="40"/>
      <c r="D153" s="4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0"/>
      <c r="R153" s="40"/>
      <c r="S153" s="40"/>
      <c r="T153" s="73">
        <v>50000</v>
      </c>
      <c r="U153" s="41"/>
      <c r="V153" s="72" t="s">
        <v>80</v>
      </c>
      <c r="W153" s="42"/>
      <c r="X153" s="2">
        <v>53.9</v>
      </c>
      <c r="Y153" s="113"/>
      <c r="Z153" s="43"/>
      <c r="AA153" s="40"/>
      <c r="AB153" s="40"/>
      <c r="AC153" s="43"/>
      <c r="AD153" s="43"/>
      <c r="AE153" s="43"/>
      <c r="AF153" s="43"/>
      <c r="AG153" s="76">
        <v>44664</v>
      </c>
      <c r="AH153" s="76">
        <v>44664</v>
      </c>
      <c r="AI153" s="77">
        <v>44720</v>
      </c>
      <c r="AJ153" s="79">
        <v>44727</v>
      </c>
      <c r="AK153" s="79">
        <v>44727</v>
      </c>
      <c r="AL153" s="135" t="s">
        <v>31</v>
      </c>
      <c r="AM153" s="73">
        <v>50000</v>
      </c>
      <c r="AN153" s="96"/>
      <c r="AO153" s="96"/>
      <c r="AP153" s="73">
        <v>49300</v>
      </c>
      <c r="AQ153" s="44"/>
      <c r="AR153" s="114"/>
      <c r="AS153" s="98"/>
      <c r="AT153" s="98"/>
      <c r="AU153" s="98"/>
      <c r="AV153" s="98"/>
      <c r="AW153" s="98"/>
      <c r="AX153" s="98"/>
      <c r="AY153" s="98"/>
      <c r="AZ153" s="115"/>
    </row>
    <row r="154" spans="1:52" s="19" customFormat="1" ht="12.6" customHeight="1" x14ac:dyDescent="0.2">
      <c r="A154" s="72" t="s">
        <v>145</v>
      </c>
      <c r="B154" s="72" t="s">
        <v>118</v>
      </c>
      <c r="C154" s="40"/>
      <c r="D154" s="40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0"/>
      <c r="R154" s="40"/>
      <c r="S154" s="40"/>
      <c r="T154" s="73">
        <v>24000</v>
      </c>
      <c r="U154" s="41"/>
      <c r="V154" s="72" t="s">
        <v>94</v>
      </c>
      <c r="W154" s="42"/>
      <c r="X154" s="2">
        <v>53.9</v>
      </c>
      <c r="Y154" s="113"/>
      <c r="Z154" s="43"/>
      <c r="AA154" s="40"/>
      <c r="AB154" s="40"/>
      <c r="AC154" s="43"/>
      <c r="AD154" s="43"/>
      <c r="AE154" s="43"/>
      <c r="AF154" s="43"/>
      <c r="AG154" s="75">
        <v>44664</v>
      </c>
      <c r="AH154" s="75">
        <v>44664</v>
      </c>
      <c r="AI154" s="77">
        <v>44720</v>
      </c>
      <c r="AJ154" s="79">
        <v>44727</v>
      </c>
      <c r="AK154" s="79">
        <v>44727</v>
      </c>
      <c r="AL154" s="135" t="s">
        <v>31</v>
      </c>
      <c r="AM154" s="73">
        <v>24000</v>
      </c>
      <c r="AN154" s="96"/>
      <c r="AO154" s="96"/>
      <c r="AP154" s="73">
        <v>23685</v>
      </c>
      <c r="AQ154" s="44"/>
      <c r="AR154" s="114"/>
      <c r="AS154" s="98"/>
      <c r="AT154" s="98"/>
      <c r="AU154" s="98"/>
      <c r="AV154" s="98"/>
      <c r="AW154" s="98"/>
      <c r="AX154" s="98"/>
      <c r="AY154" s="98"/>
      <c r="AZ154" s="115"/>
    </row>
    <row r="155" spans="1:52" s="19" customFormat="1" ht="12.6" customHeight="1" x14ac:dyDescent="0.2">
      <c r="A155" s="72" t="s">
        <v>140</v>
      </c>
      <c r="B155" s="72" t="s">
        <v>115</v>
      </c>
      <c r="C155" s="40"/>
      <c r="D155" s="40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0"/>
      <c r="R155" s="40"/>
      <c r="S155" s="40"/>
      <c r="T155" s="73">
        <v>20000</v>
      </c>
      <c r="U155" s="41"/>
      <c r="V155" s="72" t="s">
        <v>94</v>
      </c>
      <c r="W155" s="42"/>
      <c r="X155" s="2">
        <v>53.9</v>
      </c>
      <c r="Y155" s="113"/>
      <c r="Z155" s="43"/>
      <c r="AA155" s="40"/>
      <c r="AB155" s="40"/>
      <c r="AC155" s="43"/>
      <c r="AD155" s="43"/>
      <c r="AE155" s="43"/>
      <c r="AF155" s="43"/>
      <c r="AG155" s="75">
        <v>44809</v>
      </c>
      <c r="AH155" s="75">
        <v>44809</v>
      </c>
      <c r="AI155" s="77">
        <v>44823</v>
      </c>
      <c r="AJ155" s="77">
        <v>44830</v>
      </c>
      <c r="AK155" s="77">
        <v>44830</v>
      </c>
      <c r="AL155" s="135" t="s">
        <v>31</v>
      </c>
      <c r="AM155" s="73">
        <v>20000</v>
      </c>
      <c r="AN155" s="96"/>
      <c r="AO155" s="96"/>
      <c r="AP155" s="73">
        <v>19840</v>
      </c>
      <c r="AQ155" s="44"/>
      <c r="AR155" s="114"/>
      <c r="AS155" s="98"/>
      <c r="AT155" s="98"/>
      <c r="AU155" s="98"/>
      <c r="AV155" s="98"/>
      <c r="AW155" s="98"/>
      <c r="AX155" s="98"/>
      <c r="AY155" s="98"/>
      <c r="AZ155" s="115"/>
    </row>
    <row r="156" spans="1:52" s="19" customFormat="1" ht="12.6" customHeight="1" x14ac:dyDescent="0.2">
      <c r="A156" s="72" t="s">
        <v>145</v>
      </c>
      <c r="B156" s="72" t="s">
        <v>118</v>
      </c>
      <c r="C156" s="40"/>
      <c r="D156" s="40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0"/>
      <c r="R156" s="40"/>
      <c r="S156" s="40"/>
      <c r="T156" s="73">
        <v>70000</v>
      </c>
      <c r="U156" s="41"/>
      <c r="V156" s="72" t="s">
        <v>80</v>
      </c>
      <c r="W156" s="42"/>
      <c r="X156" s="2">
        <v>53.9</v>
      </c>
      <c r="Y156" s="113"/>
      <c r="Z156" s="43"/>
      <c r="AA156" s="40"/>
      <c r="AB156" s="40"/>
      <c r="AC156" s="43"/>
      <c r="AD156" s="43"/>
      <c r="AE156" s="43"/>
      <c r="AF156" s="43"/>
      <c r="AG156" s="75">
        <v>44658</v>
      </c>
      <c r="AH156" s="75">
        <v>44658</v>
      </c>
      <c r="AI156" s="77">
        <v>44813</v>
      </c>
      <c r="AJ156" s="79">
        <v>44820</v>
      </c>
      <c r="AK156" s="79">
        <v>44820</v>
      </c>
      <c r="AL156" s="135" t="s">
        <v>31</v>
      </c>
      <c r="AM156" s="73">
        <v>70000</v>
      </c>
      <c r="AN156" s="96"/>
      <c r="AO156" s="96"/>
      <c r="AP156" s="73">
        <v>68862</v>
      </c>
      <c r="AQ156" s="44"/>
      <c r="AR156" s="114"/>
      <c r="AS156" s="98"/>
      <c r="AT156" s="98"/>
      <c r="AU156" s="98"/>
      <c r="AV156" s="98"/>
      <c r="AW156" s="98"/>
      <c r="AX156" s="98"/>
      <c r="AY156" s="98"/>
      <c r="AZ156" s="115"/>
    </row>
    <row r="157" spans="1:52" s="19" customFormat="1" ht="12.6" customHeight="1" x14ac:dyDescent="0.2">
      <c r="A157" s="72" t="s">
        <v>145</v>
      </c>
      <c r="B157" s="72" t="s">
        <v>118</v>
      </c>
      <c r="C157" s="40"/>
      <c r="D157" s="40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0"/>
      <c r="R157" s="40"/>
      <c r="S157" s="40"/>
      <c r="T157" s="73">
        <v>157000</v>
      </c>
      <c r="U157" s="41"/>
      <c r="V157" s="72" t="s">
        <v>80</v>
      </c>
      <c r="W157" s="42"/>
      <c r="X157" s="2">
        <v>53.9</v>
      </c>
      <c r="Y157" s="113"/>
      <c r="Z157" s="43"/>
      <c r="AA157" s="40"/>
      <c r="AB157" s="40"/>
      <c r="AC157" s="43"/>
      <c r="AD157" s="43"/>
      <c r="AE157" s="43"/>
      <c r="AF157" s="43"/>
      <c r="AG157" s="75">
        <v>44712</v>
      </c>
      <c r="AH157" s="75">
        <v>44712</v>
      </c>
      <c r="AI157" s="77">
        <v>44756</v>
      </c>
      <c r="AJ157" s="79">
        <v>44763</v>
      </c>
      <c r="AK157" s="79">
        <v>44763</v>
      </c>
      <c r="AL157" s="135" t="s">
        <v>31</v>
      </c>
      <c r="AM157" s="73">
        <v>157000</v>
      </c>
      <c r="AN157" s="96"/>
      <c r="AO157" s="96"/>
      <c r="AP157" s="73">
        <v>155898</v>
      </c>
      <c r="AQ157" s="44"/>
      <c r="AR157" s="114"/>
      <c r="AS157" s="98"/>
      <c r="AT157" s="98"/>
      <c r="AU157" s="98"/>
      <c r="AV157" s="98"/>
      <c r="AW157" s="98"/>
      <c r="AX157" s="98"/>
      <c r="AY157" s="98"/>
      <c r="AZ157" s="115"/>
    </row>
    <row r="158" spans="1:52" s="19" customFormat="1" ht="12.6" customHeight="1" x14ac:dyDescent="0.2">
      <c r="A158" s="72" t="s">
        <v>144</v>
      </c>
      <c r="B158" s="72" t="s">
        <v>194</v>
      </c>
      <c r="C158" s="40"/>
      <c r="D158" s="40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0"/>
      <c r="R158" s="40"/>
      <c r="S158" s="40"/>
      <c r="T158" s="73">
        <v>30000</v>
      </c>
      <c r="U158" s="41"/>
      <c r="V158" s="145" t="s">
        <v>87</v>
      </c>
      <c r="W158" s="42"/>
      <c r="X158" s="2">
        <v>53.9</v>
      </c>
      <c r="Y158" s="113"/>
      <c r="Z158" s="43"/>
      <c r="AA158" s="40"/>
      <c r="AB158" s="40"/>
      <c r="AC158" s="43"/>
      <c r="AD158" s="43"/>
      <c r="AE158" s="43"/>
      <c r="AF158" s="43"/>
      <c r="AG158" s="75">
        <v>44812</v>
      </c>
      <c r="AH158" s="75">
        <v>44812</v>
      </c>
      <c r="AI158" s="77">
        <v>44823</v>
      </c>
      <c r="AJ158" s="77">
        <v>44827</v>
      </c>
      <c r="AK158" s="77">
        <v>44827</v>
      </c>
      <c r="AL158" s="135" t="s">
        <v>31</v>
      </c>
      <c r="AM158" s="73">
        <v>30000</v>
      </c>
      <c r="AN158" s="96"/>
      <c r="AO158" s="96"/>
      <c r="AP158" s="73">
        <v>29465</v>
      </c>
      <c r="AQ158" s="44"/>
      <c r="AR158" s="114"/>
      <c r="AS158" s="98"/>
      <c r="AT158" s="98"/>
      <c r="AU158" s="98"/>
      <c r="AV158" s="98"/>
      <c r="AW158" s="98"/>
      <c r="AX158" s="98"/>
      <c r="AY158" s="98"/>
      <c r="AZ158" s="115"/>
    </row>
    <row r="159" spans="1:52" s="19" customFormat="1" ht="12.6" customHeight="1" x14ac:dyDescent="0.2">
      <c r="A159" s="72" t="s">
        <v>148</v>
      </c>
      <c r="B159" s="72" t="s">
        <v>195</v>
      </c>
      <c r="C159" s="40"/>
      <c r="D159" s="40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0"/>
      <c r="R159" s="40"/>
      <c r="S159" s="40"/>
      <c r="T159" s="73">
        <v>14000</v>
      </c>
      <c r="U159" s="41"/>
      <c r="V159" s="149" t="s">
        <v>82</v>
      </c>
      <c r="W159" s="42"/>
      <c r="X159" s="2">
        <v>53.9</v>
      </c>
      <c r="Y159" s="113"/>
      <c r="Z159" s="43"/>
      <c r="AA159" s="40"/>
      <c r="AB159" s="40"/>
      <c r="AC159" s="43"/>
      <c r="AD159" s="43"/>
      <c r="AE159" s="43"/>
      <c r="AF159" s="43"/>
      <c r="AG159" s="75">
        <v>44812</v>
      </c>
      <c r="AH159" s="75">
        <v>44812</v>
      </c>
      <c r="AI159" s="77">
        <v>44823</v>
      </c>
      <c r="AJ159" s="77">
        <v>44827</v>
      </c>
      <c r="AK159" s="77">
        <v>44827</v>
      </c>
      <c r="AL159" s="135" t="s">
        <v>31</v>
      </c>
      <c r="AM159" s="73">
        <v>14000</v>
      </c>
      <c r="AN159" s="96"/>
      <c r="AO159" s="96"/>
      <c r="AP159" s="73">
        <v>13895</v>
      </c>
      <c r="AQ159" s="44"/>
      <c r="AR159" s="114"/>
      <c r="AS159" s="98"/>
      <c r="AT159" s="98"/>
      <c r="AU159" s="98"/>
      <c r="AV159" s="98"/>
      <c r="AW159" s="98"/>
      <c r="AX159" s="98"/>
      <c r="AY159" s="98"/>
      <c r="AZ159" s="115"/>
    </row>
    <row r="160" spans="1:52" s="19" customFormat="1" ht="12.6" customHeight="1" x14ac:dyDescent="0.2">
      <c r="A160" s="72" t="s">
        <v>134</v>
      </c>
      <c r="B160" s="72" t="s">
        <v>196</v>
      </c>
      <c r="C160" s="40"/>
      <c r="D160" s="40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0"/>
      <c r="R160" s="40"/>
      <c r="S160" s="40"/>
      <c r="T160" s="73">
        <v>50000</v>
      </c>
      <c r="U160" s="41"/>
      <c r="V160" s="149" t="s">
        <v>82</v>
      </c>
      <c r="W160" s="42"/>
      <c r="X160" s="2">
        <v>53.9</v>
      </c>
      <c r="Y160" s="113"/>
      <c r="Z160" s="43"/>
      <c r="AA160" s="40"/>
      <c r="AB160" s="40"/>
      <c r="AC160" s="43"/>
      <c r="AD160" s="43"/>
      <c r="AE160" s="43"/>
      <c r="AF160" s="43"/>
      <c r="AG160" s="75">
        <v>44809</v>
      </c>
      <c r="AH160" s="75">
        <v>44809</v>
      </c>
      <c r="AI160" s="77">
        <v>44827</v>
      </c>
      <c r="AJ160" s="77">
        <v>44834</v>
      </c>
      <c r="AK160" s="77">
        <v>44834</v>
      </c>
      <c r="AL160" s="135" t="s">
        <v>31</v>
      </c>
      <c r="AM160" s="73">
        <v>50000</v>
      </c>
      <c r="AN160" s="96"/>
      <c r="AO160" s="96"/>
      <c r="AP160" s="73">
        <v>49600</v>
      </c>
      <c r="AQ160" s="44"/>
      <c r="AR160" s="114"/>
      <c r="AS160" s="98"/>
      <c r="AT160" s="98"/>
      <c r="AU160" s="98"/>
      <c r="AV160" s="98"/>
      <c r="AW160" s="98"/>
      <c r="AX160" s="98"/>
      <c r="AY160" s="98"/>
      <c r="AZ160" s="115"/>
    </row>
    <row r="161" spans="1:52" s="19" customFormat="1" ht="12.6" customHeight="1" x14ac:dyDescent="0.2">
      <c r="A161" s="72" t="s">
        <v>138</v>
      </c>
      <c r="B161" s="72" t="s">
        <v>197</v>
      </c>
      <c r="C161" s="40"/>
      <c r="D161" s="40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0"/>
      <c r="R161" s="40"/>
      <c r="S161" s="40"/>
      <c r="T161" s="73">
        <v>70000</v>
      </c>
      <c r="U161" s="41"/>
      <c r="V161" s="145" t="s">
        <v>80</v>
      </c>
      <c r="W161" s="42"/>
      <c r="X161" s="2">
        <v>53.9</v>
      </c>
      <c r="Y161" s="113"/>
      <c r="Z161" s="43"/>
      <c r="AA161" s="40"/>
      <c r="AB161" s="40"/>
      <c r="AC161" s="43"/>
      <c r="AD161" s="43"/>
      <c r="AE161" s="43"/>
      <c r="AF161" s="43"/>
      <c r="AG161" s="75">
        <v>44824</v>
      </c>
      <c r="AH161" s="75">
        <v>44824</v>
      </c>
      <c r="AI161" s="77">
        <v>44851</v>
      </c>
      <c r="AJ161" s="77">
        <v>44858</v>
      </c>
      <c r="AK161" s="77">
        <v>44858</v>
      </c>
      <c r="AL161" s="135" t="s">
        <v>31</v>
      </c>
      <c r="AM161" s="73">
        <v>70000</v>
      </c>
      <c r="AN161" s="96"/>
      <c r="AO161" s="96"/>
      <c r="AP161" s="73">
        <v>69802</v>
      </c>
      <c r="AQ161" s="44"/>
      <c r="AR161" s="114"/>
      <c r="AS161" s="98"/>
      <c r="AT161" s="98"/>
      <c r="AU161" s="98"/>
      <c r="AV161" s="98"/>
      <c r="AW161" s="98"/>
      <c r="AX161" s="98"/>
      <c r="AY161" s="98"/>
      <c r="AZ161" s="115"/>
    </row>
    <row r="162" spans="1:52" s="19" customFormat="1" ht="12.6" customHeight="1" x14ac:dyDescent="0.2">
      <c r="A162" s="72" t="s">
        <v>153</v>
      </c>
      <c r="B162" s="72" t="s">
        <v>127</v>
      </c>
      <c r="C162" s="40"/>
      <c r="D162" s="40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0"/>
      <c r="R162" s="40"/>
      <c r="S162" s="40"/>
      <c r="T162" s="73">
        <v>120000</v>
      </c>
      <c r="U162" s="41"/>
      <c r="V162" s="147" t="s">
        <v>79</v>
      </c>
      <c r="W162" s="42"/>
      <c r="X162" s="2">
        <v>53.9</v>
      </c>
      <c r="Y162" s="113"/>
      <c r="Z162" s="43"/>
      <c r="AA162" s="40"/>
      <c r="AB162" s="40"/>
      <c r="AC162" s="43"/>
      <c r="AD162" s="43"/>
      <c r="AE162" s="43"/>
      <c r="AF162" s="43"/>
      <c r="AG162" s="142">
        <v>44607</v>
      </c>
      <c r="AH162" s="142">
        <v>44607</v>
      </c>
      <c r="AI162" s="77">
        <v>44728</v>
      </c>
      <c r="AJ162" s="79">
        <v>44673</v>
      </c>
      <c r="AK162" s="79">
        <v>44673</v>
      </c>
      <c r="AL162" s="135" t="s">
        <v>31</v>
      </c>
      <c r="AM162" s="73">
        <v>120000</v>
      </c>
      <c r="AN162" s="96"/>
      <c r="AO162" s="96"/>
      <c r="AP162" s="73">
        <v>119220</v>
      </c>
      <c r="AQ162" s="44"/>
      <c r="AR162" s="114"/>
      <c r="AS162" s="98"/>
      <c r="AT162" s="98"/>
      <c r="AU162" s="98"/>
      <c r="AV162" s="98"/>
      <c r="AW162" s="98"/>
      <c r="AX162" s="98"/>
      <c r="AY162" s="98"/>
      <c r="AZ162" s="115"/>
    </row>
    <row r="163" spans="1:52" s="19" customFormat="1" ht="12.6" customHeight="1" x14ac:dyDescent="0.2">
      <c r="A163" s="72" t="s">
        <v>138</v>
      </c>
      <c r="B163" s="72" t="s">
        <v>125</v>
      </c>
      <c r="C163" s="40"/>
      <c r="D163" s="40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0"/>
      <c r="R163" s="40"/>
      <c r="S163" s="40"/>
      <c r="T163" s="73">
        <f>25900+100000+51500</f>
        <v>177400</v>
      </c>
      <c r="U163" s="41"/>
      <c r="V163" s="145" t="s">
        <v>101</v>
      </c>
      <c r="W163" s="42"/>
      <c r="X163" s="2">
        <v>53.9</v>
      </c>
      <c r="Y163" s="113"/>
      <c r="Z163" s="43"/>
      <c r="AA163" s="40"/>
      <c r="AB163" s="40"/>
      <c r="AC163" s="43"/>
      <c r="AD163" s="43"/>
      <c r="AE163" s="43"/>
      <c r="AF163" s="43"/>
      <c r="AG163" s="75">
        <v>44711</v>
      </c>
      <c r="AH163" s="75">
        <v>44711</v>
      </c>
      <c r="AI163" s="77">
        <v>44820</v>
      </c>
      <c r="AJ163" s="79">
        <v>44827</v>
      </c>
      <c r="AK163" s="79">
        <v>44827</v>
      </c>
      <c r="AL163" s="135" t="s">
        <v>31</v>
      </c>
      <c r="AM163" s="73">
        <f>25900+100000+51500</f>
        <v>177400</v>
      </c>
      <c r="AN163" s="96"/>
      <c r="AO163" s="96"/>
      <c r="AP163" s="73">
        <v>177000</v>
      </c>
      <c r="AQ163" s="44"/>
      <c r="AR163" s="114"/>
      <c r="AS163" s="98"/>
      <c r="AT163" s="98"/>
      <c r="AU163" s="98"/>
      <c r="AV163" s="98"/>
      <c r="AW163" s="98"/>
      <c r="AX163" s="98"/>
      <c r="AY163" s="98"/>
      <c r="AZ163" s="115"/>
    </row>
    <row r="164" spans="1:52" s="19" customFormat="1" ht="12.6" customHeight="1" x14ac:dyDescent="0.2">
      <c r="A164" s="72" t="s">
        <v>152</v>
      </c>
      <c r="B164" s="72" t="s">
        <v>129</v>
      </c>
      <c r="C164" s="40"/>
      <c r="D164" s="40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0"/>
      <c r="R164" s="40"/>
      <c r="S164" s="40"/>
      <c r="T164" s="73">
        <f>468000+183120+225500</f>
        <v>876620</v>
      </c>
      <c r="U164" s="41"/>
      <c r="V164" s="145" t="s">
        <v>102</v>
      </c>
      <c r="W164" s="42"/>
      <c r="X164" s="2">
        <v>53.9</v>
      </c>
      <c r="Y164" s="113"/>
      <c r="Z164" s="43"/>
      <c r="AA164" s="40"/>
      <c r="AB164" s="40"/>
      <c r="AC164" s="43"/>
      <c r="AD164" s="43"/>
      <c r="AE164" s="43"/>
      <c r="AF164" s="43"/>
      <c r="AG164" s="142">
        <v>44634</v>
      </c>
      <c r="AH164" s="142">
        <v>44634</v>
      </c>
      <c r="AI164" s="77">
        <v>44748</v>
      </c>
      <c r="AJ164" s="79">
        <v>44755</v>
      </c>
      <c r="AK164" s="79">
        <v>44755</v>
      </c>
      <c r="AL164" s="135" t="s">
        <v>31</v>
      </c>
      <c r="AM164" s="73">
        <f>468000+183120+225500</f>
        <v>876620</v>
      </c>
      <c r="AN164" s="96"/>
      <c r="AO164" s="96"/>
      <c r="AP164" s="73">
        <v>874832</v>
      </c>
      <c r="AQ164" s="44"/>
      <c r="AR164" s="114"/>
      <c r="AS164" s="98"/>
      <c r="AT164" s="98"/>
      <c r="AU164" s="98"/>
      <c r="AV164" s="98"/>
      <c r="AW164" s="98"/>
      <c r="AX164" s="98"/>
      <c r="AY164" s="98"/>
      <c r="AZ164" s="115"/>
    </row>
    <row r="165" spans="1:52" s="19" customFormat="1" ht="12.6" customHeight="1" x14ac:dyDescent="0.2">
      <c r="A165" s="72" t="s">
        <v>137</v>
      </c>
      <c r="B165" s="72" t="s">
        <v>112</v>
      </c>
      <c r="C165" s="40"/>
      <c r="D165" s="40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0"/>
      <c r="R165" s="40"/>
      <c r="S165" s="40"/>
      <c r="T165" s="73">
        <f>50000+12000+18000</f>
        <v>80000</v>
      </c>
      <c r="U165" s="41"/>
      <c r="V165" s="145" t="s">
        <v>92</v>
      </c>
      <c r="W165" s="42"/>
      <c r="X165" s="2">
        <v>53.9</v>
      </c>
      <c r="Y165" s="113"/>
      <c r="Z165" s="43"/>
      <c r="AA165" s="40"/>
      <c r="AB165" s="40"/>
      <c r="AC165" s="43"/>
      <c r="AD165" s="43"/>
      <c r="AE165" s="43"/>
      <c r="AF165" s="43"/>
      <c r="AG165" s="76">
        <v>44726</v>
      </c>
      <c r="AH165" s="76">
        <v>44726</v>
      </c>
      <c r="AI165" s="77">
        <v>44774</v>
      </c>
      <c r="AJ165" s="79">
        <v>44781</v>
      </c>
      <c r="AK165" s="79">
        <v>44781</v>
      </c>
      <c r="AL165" s="135" t="s">
        <v>31</v>
      </c>
      <c r="AM165" s="73">
        <f>50000+12000+18000</f>
        <v>80000</v>
      </c>
      <c r="AN165" s="96"/>
      <c r="AO165" s="96"/>
      <c r="AP165" s="73">
        <f>49299+11928+17964</f>
        <v>79191</v>
      </c>
      <c r="AQ165" s="44"/>
      <c r="AR165" s="114"/>
      <c r="AS165" s="98"/>
      <c r="AT165" s="98"/>
      <c r="AU165" s="98"/>
      <c r="AV165" s="98"/>
      <c r="AW165" s="98"/>
      <c r="AX165" s="98"/>
      <c r="AY165" s="98"/>
      <c r="AZ165" s="115"/>
    </row>
    <row r="166" spans="1:52" s="19" customFormat="1" ht="12.6" customHeight="1" x14ac:dyDescent="0.2">
      <c r="A166" s="72" t="s">
        <v>142</v>
      </c>
      <c r="B166" s="72" t="s">
        <v>187</v>
      </c>
      <c r="C166" s="40"/>
      <c r="D166" s="4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0"/>
      <c r="R166" s="40"/>
      <c r="S166" s="40"/>
      <c r="T166" s="73">
        <v>16000</v>
      </c>
      <c r="U166" s="41"/>
      <c r="V166" s="145" t="s">
        <v>93</v>
      </c>
      <c r="W166" s="42"/>
      <c r="X166" s="2">
        <v>53.9</v>
      </c>
      <c r="Y166" s="113"/>
      <c r="Z166" s="43"/>
      <c r="AA166" s="40"/>
      <c r="AB166" s="40"/>
      <c r="AC166" s="43"/>
      <c r="AD166" s="43"/>
      <c r="AE166" s="43"/>
      <c r="AF166" s="43"/>
      <c r="AG166" s="75">
        <v>44806</v>
      </c>
      <c r="AH166" s="75">
        <v>44806</v>
      </c>
      <c r="AI166" s="77">
        <v>44848</v>
      </c>
      <c r="AJ166" s="148">
        <v>44855</v>
      </c>
      <c r="AK166" s="148">
        <v>44855</v>
      </c>
      <c r="AL166" s="135" t="s">
        <v>31</v>
      </c>
      <c r="AM166" s="73">
        <v>16000</v>
      </c>
      <c r="AN166" s="96"/>
      <c r="AO166" s="96"/>
      <c r="AP166" s="73">
        <v>15936</v>
      </c>
      <c r="AQ166" s="44"/>
      <c r="AR166" s="114"/>
      <c r="AS166" s="98"/>
      <c r="AT166" s="98"/>
      <c r="AU166" s="98"/>
      <c r="AV166" s="98"/>
      <c r="AW166" s="98"/>
      <c r="AX166" s="98"/>
      <c r="AY166" s="98"/>
      <c r="AZ166" s="115"/>
    </row>
    <row r="167" spans="1:52" s="19" customFormat="1" ht="12.6" customHeight="1" x14ac:dyDescent="0.2">
      <c r="A167" s="72" t="s">
        <v>150</v>
      </c>
      <c r="B167" s="72" t="s">
        <v>188</v>
      </c>
      <c r="C167" s="40"/>
      <c r="D167" s="40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0"/>
      <c r="R167" s="40"/>
      <c r="S167" s="40"/>
      <c r="T167" s="73">
        <v>11400</v>
      </c>
      <c r="U167" s="41"/>
      <c r="V167" s="149" t="s">
        <v>79</v>
      </c>
      <c r="W167" s="42"/>
      <c r="X167" s="2">
        <v>53.9</v>
      </c>
      <c r="Y167" s="113"/>
      <c r="Z167" s="43"/>
      <c r="AA167" s="40"/>
      <c r="AB167" s="40"/>
      <c r="AC167" s="43"/>
      <c r="AD167" s="43"/>
      <c r="AE167" s="43"/>
      <c r="AF167" s="43"/>
      <c r="AG167" s="75">
        <v>44806</v>
      </c>
      <c r="AH167" s="75">
        <v>44806</v>
      </c>
      <c r="AI167" s="77">
        <v>44848</v>
      </c>
      <c r="AJ167" s="148">
        <v>44855</v>
      </c>
      <c r="AK167" s="148">
        <v>44855</v>
      </c>
      <c r="AL167" s="135" t="s">
        <v>31</v>
      </c>
      <c r="AM167" s="73">
        <v>11400</v>
      </c>
      <c r="AN167" s="96"/>
      <c r="AO167" s="96"/>
      <c r="AP167" s="73">
        <v>11332</v>
      </c>
      <c r="AQ167" s="44"/>
      <c r="AR167" s="114"/>
      <c r="AS167" s="98"/>
      <c r="AT167" s="98"/>
      <c r="AU167" s="98"/>
      <c r="AV167" s="98"/>
      <c r="AW167" s="98"/>
      <c r="AX167" s="98"/>
      <c r="AY167" s="98"/>
      <c r="AZ167" s="115"/>
    </row>
    <row r="168" spans="1:52" s="19" customFormat="1" ht="12.6" customHeight="1" x14ac:dyDescent="0.2">
      <c r="A168" s="72" t="s">
        <v>143</v>
      </c>
      <c r="B168" s="72" t="s">
        <v>185</v>
      </c>
      <c r="C168" s="40"/>
      <c r="D168" s="40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0"/>
      <c r="R168" s="40"/>
      <c r="S168" s="40"/>
      <c r="T168" s="73">
        <v>197346</v>
      </c>
      <c r="U168" s="41"/>
      <c r="V168" s="149" t="s">
        <v>79</v>
      </c>
      <c r="W168" s="42"/>
      <c r="X168" s="2">
        <v>53.9</v>
      </c>
      <c r="Y168" s="113"/>
      <c r="Z168" s="43"/>
      <c r="AA168" s="40"/>
      <c r="AB168" s="40"/>
      <c r="AC168" s="43"/>
      <c r="AD168" s="43"/>
      <c r="AE168" s="43"/>
      <c r="AF168" s="43"/>
      <c r="AG168" s="75">
        <v>44812</v>
      </c>
      <c r="AH168" s="75">
        <v>44812</v>
      </c>
      <c r="AI168" s="77">
        <v>44848</v>
      </c>
      <c r="AJ168" s="77">
        <v>44853</v>
      </c>
      <c r="AK168" s="77">
        <v>44853</v>
      </c>
      <c r="AL168" s="135" t="s">
        <v>31</v>
      </c>
      <c r="AM168" s="73">
        <v>197346</v>
      </c>
      <c r="AN168" s="96"/>
      <c r="AO168" s="96"/>
      <c r="AP168" s="73">
        <v>195282</v>
      </c>
      <c r="AQ168" s="44"/>
      <c r="AR168" s="114"/>
      <c r="AS168" s="98"/>
      <c r="AT168" s="98"/>
      <c r="AU168" s="98"/>
      <c r="AV168" s="98"/>
      <c r="AW168" s="98"/>
      <c r="AX168" s="98"/>
      <c r="AY168" s="98"/>
      <c r="AZ168" s="115"/>
    </row>
    <row r="169" spans="1:52" s="19" customFormat="1" ht="12.6" customHeight="1" x14ac:dyDescent="0.2">
      <c r="A169" s="72" t="s">
        <v>137</v>
      </c>
      <c r="B169" s="72" t="s">
        <v>112</v>
      </c>
      <c r="C169" s="40"/>
      <c r="D169" s="40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0"/>
      <c r="R169" s="40"/>
      <c r="S169" s="40"/>
      <c r="T169" s="73">
        <v>30000</v>
      </c>
      <c r="U169" s="41"/>
      <c r="V169" s="149" t="s">
        <v>82</v>
      </c>
      <c r="W169" s="42"/>
      <c r="X169" s="2">
        <v>53.9</v>
      </c>
      <c r="Y169" s="113"/>
      <c r="Z169" s="43"/>
      <c r="AA169" s="40"/>
      <c r="AB169" s="40"/>
      <c r="AC169" s="43"/>
      <c r="AD169" s="43"/>
      <c r="AE169" s="43"/>
      <c r="AF169" s="43"/>
      <c r="AG169" s="75">
        <v>44812</v>
      </c>
      <c r="AH169" s="75">
        <v>44812</v>
      </c>
      <c r="AI169" s="77">
        <v>44848</v>
      </c>
      <c r="AJ169" s="77">
        <v>44853</v>
      </c>
      <c r="AK169" s="77">
        <v>44853</v>
      </c>
      <c r="AL169" s="135" t="s">
        <v>31</v>
      </c>
      <c r="AM169" s="73">
        <v>30000</v>
      </c>
      <c r="AN169" s="96"/>
      <c r="AO169" s="96"/>
      <c r="AP169" s="73">
        <v>29360</v>
      </c>
      <c r="AQ169" s="44"/>
      <c r="AR169" s="114"/>
      <c r="AS169" s="98"/>
      <c r="AT169" s="98"/>
      <c r="AU169" s="98"/>
      <c r="AV169" s="98"/>
      <c r="AW169" s="98"/>
      <c r="AX169" s="98"/>
      <c r="AY169" s="98"/>
      <c r="AZ169" s="115"/>
    </row>
    <row r="170" spans="1:52" s="19" customFormat="1" ht="12.6" customHeight="1" x14ac:dyDescent="0.2">
      <c r="A170" s="72" t="s">
        <v>139</v>
      </c>
      <c r="B170" s="72" t="s">
        <v>198</v>
      </c>
      <c r="C170" s="40"/>
      <c r="D170" s="40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0"/>
      <c r="R170" s="40"/>
      <c r="S170" s="40"/>
      <c r="T170" s="73">
        <v>26600</v>
      </c>
      <c r="U170" s="41"/>
      <c r="V170" s="149" t="s">
        <v>82</v>
      </c>
      <c r="W170" s="42"/>
      <c r="X170" s="2">
        <v>53.9</v>
      </c>
      <c r="Y170" s="113"/>
      <c r="Z170" s="43"/>
      <c r="AA170" s="40"/>
      <c r="AB170" s="40"/>
      <c r="AC170" s="43"/>
      <c r="AD170" s="43"/>
      <c r="AE170" s="43"/>
      <c r="AF170" s="43"/>
      <c r="AG170" s="75">
        <v>44824</v>
      </c>
      <c r="AH170" s="75">
        <v>44824</v>
      </c>
      <c r="AI170" s="77">
        <v>44862</v>
      </c>
      <c r="AJ170" s="148">
        <v>44869</v>
      </c>
      <c r="AK170" s="148">
        <v>44869</v>
      </c>
      <c r="AL170" s="135" t="s">
        <v>31</v>
      </c>
      <c r="AM170" s="73">
        <v>26600</v>
      </c>
      <c r="AN170" s="96"/>
      <c r="AO170" s="96"/>
      <c r="AP170" s="73">
        <v>26260</v>
      </c>
      <c r="AQ170" s="44"/>
      <c r="AR170" s="114"/>
      <c r="AS170" s="98"/>
      <c r="AT170" s="98"/>
      <c r="AU170" s="98"/>
      <c r="AV170" s="98"/>
      <c r="AW170" s="98"/>
      <c r="AX170" s="98"/>
      <c r="AY170" s="98"/>
      <c r="AZ170" s="115"/>
    </row>
    <row r="171" spans="1:52" s="19" customFormat="1" ht="12.6" customHeight="1" x14ac:dyDescent="0.2">
      <c r="A171" s="72" t="s">
        <v>147</v>
      </c>
      <c r="B171" s="72" t="s">
        <v>184</v>
      </c>
      <c r="C171" s="40"/>
      <c r="D171" s="40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0"/>
      <c r="R171" s="40"/>
      <c r="S171" s="40"/>
      <c r="T171" s="73">
        <v>30000</v>
      </c>
      <c r="U171" s="41"/>
      <c r="V171" s="72" t="s">
        <v>78</v>
      </c>
      <c r="W171" s="42"/>
      <c r="X171" s="2">
        <v>53.9</v>
      </c>
      <c r="Y171" s="113"/>
      <c r="Z171" s="43"/>
      <c r="AA171" s="40"/>
      <c r="AB171" s="40"/>
      <c r="AC171" s="43"/>
      <c r="AD171" s="43"/>
      <c r="AE171" s="43"/>
      <c r="AF171" s="43"/>
      <c r="AG171" s="75">
        <v>44809</v>
      </c>
      <c r="AH171" s="75">
        <v>44809</v>
      </c>
      <c r="AI171" s="77">
        <v>44823</v>
      </c>
      <c r="AJ171" s="148">
        <v>44830</v>
      </c>
      <c r="AK171" s="148">
        <v>44830</v>
      </c>
      <c r="AL171" s="135" t="s">
        <v>31</v>
      </c>
      <c r="AM171" s="73">
        <v>30000</v>
      </c>
      <c r="AN171" s="96"/>
      <c r="AO171" s="96"/>
      <c r="AP171" s="73">
        <v>29530</v>
      </c>
      <c r="AQ171" s="44"/>
      <c r="AR171" s="114"/>
      <c r="AS171" s="98"/>
      <c r="AT171" s="98"/>
      <c r="AU171" s="98"/>
      <c r="AV171" s="98"/>
      <c r="AW171" s="98"/>
      <c r="AX171" s="98"/>
      <c r="AY171" s="98"/>
      <c r="AZ171" s="115"/>
    </row>
    <row r="172" spans="1:52" s="19" customFormat="1" ht="12.6" customHeight="1" x14ac:dyDescent="0.2">
      <c r="A172" s="72" t="s">
        <v>147</v>
      </c>
      <c r="B172" s="72" t="s">
        <v>119</v>
      </c>
      <c r="C172" s="40"/>
      <c r="D172" s="40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0"/>
      <c r="R172" s="40"/>
      <c r="S172" s="40"/>
      <c r="T172" s="73">
        <v>8000</v>
      </c>
      <c r="U172" s="41"/>
      <c r="V172" s="72" t="s">
        <v>80</v>
      </c>
      <c r="W172" s="42"/>
      <c r="X172" s="2">
        <v>53.9</v>
      </c>
      <c r="Y172" s="113"/>
      <c r="Z172" s="43"/>
      <c r="AA172" s="40"/>
      <c r="AB172" s="40"/>
      <c r="AC172" s="43"/>
      <c r="AD172" s="43"/>
      <c r="AE172" s="43"/>
      <c r="AF172" s="43"/>
      <c r="AG172" s="142">
        <v>44630</v>
      </c>
      <c r="AH172" s="142">
        <v>44630</v>
      </c>
      <c r="AI172" s="77">
        <v>44687</v>
      </c>
      <c r="AJ172" s="79">
        <v>44693</v>
      </c>
      <c r="AK172" s="79">
        <v>44693</v>
      </c>
      <c r="AL172" s="135" t="s">
        <v>31</v>
      </c>
      <c r="AM172" s="73">
        <v>8000</v>
      </c>
      <c r="AN172" s="96"/>
      <c r="AO172" s="96"/>
      <c r="AP172" s="73">
        <v>7905</v>
      </c>
      <c r="AQ172" s="44"/>
      <c r="AR172" s="114"/>
      <c r="AS172" s="98"/>
      <c r="AT172" s="98"/>
      <c r="AU172" s="98"/>
      <c r="AV172" s="98"/>
      <c r="AW172" s="98"/>
      <c r="AX172" s="98"/>
      <c r="AY172" s="98"/>
      <c r="AZ172" s="115"/>
    </row>
    <row r="173" spans="1:52" s="19" customFormat="1" ht="12.6" customHeight="1" x14ac:dyDescent="0.2">
      <c r="A173" s="72" t="s">
        <v>139</v>
      </c>
      <c r="B173" s="72" t="s">
        <v>198</v>
      </c>
      <c r="C173" s="40"/>
      <c r="D173" s="40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0"/>
      <c r="R173" s="40"/>
      <c r="S173" s="40"/>
      <c r="T173" s="73">
        <v>50000</v>
      </c>
      <c r="U173" s="41"/>
      <c r="V173" s="72" t="s">
        <v>103</v>
      </c>
      <c r="W173" s="42"/>
      <c r="X173" s="2">
        <v>53.9</v>
      </c>
      <c r="Y173" s="113"/>
      <c r="Z173" s="43"/>
      <c r="AA173" s="40"/>
      <c r="AB173" s="40"/>
      <c r="AC173" s="43"/>
      <c r="AD173" s="43"/>
      <c r="AE173" s="43"/>
      <c r="AF173" s="43"/>
      <c r="AG173" s="75">
        <v>44832</v>
      </c>
      <c r="AH173" s="75">
        <v>44832</v>
      </c>
      <c r="AI173" s="77">
        <v>44851</v>
      </c>
      <c r="AJ173" s="77">
        <v>44858</v>
      </c>
      <c r="AK173" s="77">
        <v>44858</v>
      </c>
      <c r="AL173" s="135" t="s">
        <v>31</v>
      </c>
      <c r="AM173" s="73">
        <v>50000</v>
      </c>
      <c r="AN173" s="96"/>
      <c r="AO173" s="96"/>
      <c r="AP173" s="73">
        <v>49160</v>
      </c>
      <c r="AQ173" s="44"/>
      <c r="AR173" s="114"/>
      <c r="AS173" s="98"/>
      <c r="AT173" s="98"/>
      <c r="AU173" s="98"/>
      <c r="AV173" s="98"/>
      <c r="AW173" s="98"/>
      <c r="AX173" s="98"/>
      <c r="AY173" s="98"/>
      <c r="AZ173" s="115"/>
    </row>
    <row r="174" spans="1:52" s="19" customFormat="1" ht="12.6" customHeight="1" x14ac:dyDescent="0.2">
      <c r="A174" s="72" t="s">
        <v>199</v>
      </c>
      <c r="B174" s="72" t="s">
        <v>200</v>
      </c>
      <c r="C174" s="40"/>
      <c r="D174" s="40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0"/>
      <c r="R174" s="40"/>
      <c r="S174" s="40"/>
      <c r="T174" s="73">
        <v>15650</v>
      </c>
      <c r="U174" s="41"/>
      <c r="V174" s="72" t="s">
        <v>82</v>
      </c>
      <c r="W174" s="42"/>
      <c r="X174" s="2">
        <v>53.9</v>
      </c>
      <c r="Y174" s="113"/>
      <c r="Z174" s="43"/>
      <c r="AA174" s="40"/>
      <c r="AB174" s="40"/>
      <c r="AC174" s="43"/>
      <c r="AD174" s="43"/>
      <c r="AE174" s="43"/>
      <c r="AF174" s="43"/>
      <c r="AG174" s="75">
        <v>44806</v>
      </c>
      <c r="AH174" s="75">
        <v>44806</v>
      </c>
      <c r="AI174" s="77">
        <v>44854</v>
      </c>
      <c r="AJ174" s="148">
        <v>44861</v>
      </c>
      <c r="AK174" s="148">
        <v>44861</v>
      </c>
      <c r="AL174" s="135" t="s">
        <v>31</v>
      </c>
      <c r="AM174" s="73">
        <v>15650</v>
      </c>
      <c r="AN174" s="96"/>
      <c r="AO174" s="96"/>
      <c r="AP174" s="73">
        <v>15602</v>
      </c>
      <c r="AQ174" s="44"/>
      <c r="AR174" s="114"/>
      <c r="AS174" s="98"/>
      <c r="AT174" s="98"/>
      <c r="AU174" s="98"/>
      <c r="AV174" s="98"/>
      <c r="AW174" s="98"/>
      <c r="AX174" s="98"/>
      <c r="AY174" s="98"/>
      <c r="AZ174" s="115"/>
    </row>
    <row r="175" spans="1:52" s="19" customFormat="1" ht="12.6" customHeight="1" x14ac:dyDescent="0.2">
      <c r="A175" s="72" t="s">
        <v>145</v>
      </c>
      <c r="B175" s="72" t="s">
        <v>201</v>
      </c>
      <c r="C175" s="40"/>
      <c r="D175" s="40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0"/>
      <c r="R175" s="40"/>
      <c r="S175" s="40"/>
      <c r="T175" s="73">
        <v>135000</v>
      </c>
      <c r="U175" s="41"/>
      <c r="V175" s="151" t="s">
        <v>79</v>
      </c>
      <c r="W175" s="42"/>
      <c r="X175" s="2">
        <v>53.9</v>
      </c>
      <c r="Y175" s="113"/>
      <c r="Z175" s="43"/>
      <c r="AA175" s="40"/>
      <c r="AB175" s="40"/>
      <c r="AC175" s="43"/>
      <c r="AD175" s="43"/>
      <c r="AE175" s="43"/>
      <c r="AF175" s="43"/>
      <c r="AG175" s="75">
        <v>44812</v>
      </c>
      <c r="AH175" s="75">
        <v>44812</v>
      </c>
      <c r="AI175" s="77">
        <v>44851</v>
      </c>
      <c r="AJ175" s="77">
        <v>44858</v>
      </c>
      <c r="AK175" s="77">
        <v>44858</v>
      </c>
      <c r="AL175" s="135" t="s">
        <v>31</v>
      </c>
      <c r="AM175" s="73">
        <v>135000</v>
      </c>
      <c r="AN175" s="96"/>
      <c r="AO175" s="96"/>
      <c r="AP175" s="73">
        <v>133600</v>
      </c>
      <c r="AQ175" s="44"/>
      <c r="AR175" s="114"/>
      <c r="AS175" s="98"/>
      <c r="AT175" s="98"/>
      <c r="AU175" s="98"/>
      <c r="AV175" s="98"/>
      <c r="AW175" s="98"/>
      <c r="AX175" s="98"/>
      <c r="AY175" s="98"/>
      <c r="AZ175" s="115"/>
    </row>
    <row r="176" spans="1:52" s="19" customFormat="1" ht="12.6" customHeight="1" x14ac:dyDescent="0.2">
      <c r="A176" s="72" t="s">
        <v>141</v>
      </c>
      <c r="B176" s="72" t="s">
        <v>190</v>
      </c>
      <c r="C176" s="40"/>
      <c r="D176" s="40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0"/>
      <c r="R176" s="40"/>
      <c r="S176" s="40"/>
      <c r="T176" s="73">
        <v>14000</v>
      </c>
      <c r="U176" s="41"/>
      <c r="V176" s="149" t="s">
        <v>82</v>
      </c>
      <c r="W176" s="42"/>
      <c r="X176" s="2">
        <v>53.9</v>
      </c>
      <c r="Y176" s="113"/>
      <c r="Z176" s="43"/>
      <c r="AA176" s="40"/>
      <c r="AB176" s="40"/>
      <c r="AC176" s="43"/>
      <c r="AD176" s="43"/>
      <c r="AE176" s="43"/>
      <c r="AF176" s="43"/>
      <c r="AG176" s="75">
        <v>44812</v>
      </c>
      <c r="AH176" s="75">
        <v>44812</v>
      </c>
      <c r="AI176" s="77">
        <v>44851</v>
      </c>
      <c r="AJ176" s="77">
        <v>44858</v>
      </c>
      <c r="AK176" s="77">
        <v>44858</v>
      </c>
      <c r="AL176" s="135" t="s">
        <v>31</v>
      </c>
      <c r="AM176" s="73">
        <v>14000</v>
      </c>
      <c r="AN176" s="96"/>
      <c r="AO176" s="96"/>
      <c r="AP176" s="73">
        <v>13790</v>
      </c>
      <c r="AQ176" s="44"/>
      <c r="AR176" s="114"/>
      <c r="AS176" s="98"/>
      <c r="AT176" s="98"/>
      <c r="AU176" s="98"/>
      <c r="AV176" s="98"/>
      <c r="AW176" s="98"/>
      <c r="AX176" s="98"/>
      <c r="AY176" s="98"/>
      <c r="AZ176" s="115"/>
    </row>
    <row r="177" spans="1:52" s="19" customFormat="1" ht="12.6" customHeight="1" x14ac:dyDescent="0.2">
      <c r="A177" s="72" t="s">
        <v>137</v>
      </c>
      <c r="B177" s="72" t="s">
        <v>202</v>
      </c>
      <c r="C177" s="40"/>
      <c r="D177" s="40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0"/>
      <c r="R177" s="40"/>
      <c r="S177" s="40"/>
      <c r="T177" s="73">
        <f>95000+70000+24000+7000</f>
        <v>196000</v>
      </c>
      <c r="U177" s="41"/>
      <c r="V177" s="149" t="s">
        <v>82</v>
      </c>
      <c r="W177" s="42"/>
      <c r="X177" s="2">
        <v>53.9</v>
      </c>
      <c r="Y177" s="113"/>
      <c r="Z177" s="43"/>
      <c r="AA177" s="40"/>
      <c r="AB177" s="40"/>
      <c r="AC177" s="43"/>
      <c r="AD177" s="43"/>
      <c r="AE177" s="43"/>
      <c r="AF177" s="43"/>
      <c r="AG177" s="75">
        <v>44749</v>
      </c>
      <c r="AH177" s="75">
        <v>44749</v>
      </c>
      <c r="AI177" s="77">
        <v>44833</v>
      </c>
      <c r="AJ177" s="77">
        <v>44839</v>
      </c>
      <c r="AK177" s="77">
        <v>44839</v>
      </c>
      <c r="AL177" s="135" t="s">
        <v>31</v>
      </c>
      <c r="AM177" s="73">
        <f>95000+70000+24000+7000</f>
        <v>196000</v>
      </c>
      <c r="AN177" s="96"/>
      <c r="AO177" s="96"/>
      <c r="AP177" s="73">
        <f>94580+69800+23900+6944</f>
        <v>195224</v>
      </c>
      <c r="AQ177" s="44"/>
      <c r="AR177" s="114"/>
      <c r="AS177" s="98"/>
      <c r="AT177" s="98"/>
      <c r="AU177" s="98"/>
      <c r="AV177" s="98"/>
      <c r="AW177" s="98"/>
      <c r="AX177" s="98"/>
      <c r="AY177" s="98"/>
      <c r="AZ177" s="115"/>
    </row>
    <row r="178" spans="1:52" s="19" customFormat="1" ht="12.6" customHeight="1" x14ac:dyDescent="0.2">
      <c r="A178" s="72" t="s">
        <v>140</v>
      </c>
      <c r="B178" s="72" t="s">
        <v>115</v>
      </c>
      <c r="C178" s="40"/>
      <c r="D178" s="40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0"/>
      <c r="R178" s="40"/>
      <c r="S178" s="40"/>
      <c r="T178" s="73">
        <v>5000</v>
      </c>
      <c r="U178" s="41"/>
      <c r="V178" s="72" t="s">
        <v>102</v>
      </c>
      <c r="W178" s="42"/>
      <c r="X178" s="2">
        <v>53.9</v>
      </c>
      <c r="Y178" s="113"/>
      <c r="Z178" s="43"/>
      <c r="AA178" s="40"/>
      <c r="AB178" s="40"/>
      <c r="AC178" s="43"/>
      <c r="AD178" s="43"/>
      <c r="AE178" s="43"/>
      <c r="AF178" s="43"/>
      <c r="AG178" s="75">
        <v>44806</v>
      </c>
      <c r="AH178" s="75">
        <v>44806</v>
      </c>
      <c r="AI178" s="77">
        <v>44868</v>
      </c>
      <c r="AJ178" s="148">
        <v>44875</v>
      </c>
      <c r="AK178" s="148">
        <v>44875</v>
      </c>
      <c r="AL178" s="135" t="s">
        <v>31</v>
      </c>
      <c r="AM178" s="73">
        <v>5000</v>
      </c>
      <c r="AN178" s="96"/>
      <c r="AO178" s="96"/>
      <c r="AP178" s="73">
        <v>4940</v>
      </c>
      <c r="AQ178" s="44"/>
      <c r="AR178" s="114"/>
      <c r="AS178" s="98"/>
      <c r="AT178" s="98"/>
      <c r="AU178" s="98"/>
      <c r="AV178" s="98"/>
      <c r="AW178" s="98"/>
      <c r="AX178" s="98"/>
      <c r="AY178" s="98"/>
      <c r="AZ178" s="115"/>
    </row>
    <row r="179" spans="1:52" s="19" customFormat="1" ht="12.6" customHeight="1" x14ac:dyDescent="0.2">
      <c r="A179" s="72" t="s">
        <v>147</v>
      </c>
      <c r="B179" s="72" t="s">
        <v>184</v>
      </c>
      <c r="C179" s="40"/>
      <c r="D179" s="40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0"/>
      <c r="R179" s="40"/>
      <c r="S179" s="40"/>
      <c r="T179" s="73">
        <v>9500</v>
      </c>
      <c r="U179" s="41"/>
      <c r="V179" s="72" t="s">
        <v>90</v>
      </c>
      <c r="W179" s="42"/>
      <c r="X179" s="2">
        <v>53.9</v>
      </c>
      <c r="Y179" s="113"/>
      <c r="Z179" s="43"/>
      <c r="AA179" s="40"/>
      <c r="AB179" s="40"/>
      <c r="AC179" s="43"/>
      <c r="AD179" s="43"/>
      <c r="AE179" s="43"/>
      <c r="AF179" s="43"/>
      <c r="AG179" s="75">
        <v>44824</v>
      </c>
      <c r="AH179" s="75">
        <v>44824</v>
      </c>
      <c r="AI179" s="77">
        <v>44848</v>
      </c>
      <c r="AJ179" s="77">
        <v>44855</v>
      </c>
      <c r="AK179" s="77">
        <v>44855</v>
      </c>
      <c r="AL179" s="135" t="s">
        <v>31</v>
      </c>
      <c r="AM179" s="73">
        <v>9500</v>
      </c>
      <c r="AN179" s="96"/>
      <c r="AO179" s="96"/>
      <c r="AP179" s="73">
        <v>9450</v>
      </c>
      <c r="AQ179" s="44"/>
      <c r="AR179" s="114"/>
      <c r="AS179" s="98"/>
      <c r="AT179" s="98"/>
      <c r="AU179" s="98"/>
      <c r="AV179" s="98"/>
      <c r="AW179" s="98"/>
      <c r="AX179" s="98"/>
      <c r="AY179" s="98"/>
      <c r="AZ179" s="115"/>
    </row>
    <row r="180" spans="1:52" s="19" customFormat="1" ht="12.6" customHeight="1" x14ac:dyDescent="0.2">
      <c r="A180" s="72" t="s">
        <v>134</v>
      </c>
      <c r="B180" s="72" t="s">
        <v>196</v>
      </c>
      <c r="C180" s="40"/>
      <c r="D180" s="40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0"/>
      <c r="R180" s="40"/>
      <c r="S180" s="40"/>
      <c r="T180" s="73">
        <v>32250</v>
      </c>
      <c r="U180" s="41"/>
      <c r="V180" s="149" t="s">
        <v>78</v>
      </c>
      <c r="W180" s="42"/>
      <c r="X180" s="2">
        <v>53.9</v>
      </c>
      <c r="Y180" s="113"/>
      <c r="Z180" s="43"/>
      <c r="AA180" s="40"/>
      <c r="AB180" s="40"/>
      <c r="AC180" s="43"/>
      <c r="AD180" s="43"/>
      <c r="AE180" s="43"/>
      <c r="AF180" s="43"/>
      <c r="AG180" s="75">
        <v>44824</v>
      </c>
      <c r="AH180" s="75">
        <v>44824</v>
      </c>
      <c r="AI180" s="77">
        <v>44848</v>
      </c>
      <c r="AJ180" s="77">
        <v>44855</v>
      </c>
      <c r="AK180" s="77">
        <v>44855</v>
      </c>
      <c r="AL180" s="135" t="s">
        <v>31</v>
      </c>
      <c r="AM180" s="73">
        <v>32250</v>
      </c>
      <c r="AN180" s="96"/>
      <c r="AO180" s="96"/>
      <c r="AP180" s="73">
        <v>31920</v>
      </c>
      <c r="AQ180" s="44"/>
      <c r="AR180" s="114"/>
      <c r="AS180" s="98"/>
      <c r="AT180" s="98"/>
      <c r="AU180" s="98"/>
      <c r="AV180" s="98"/>
      <c r="AW180" s="98"/>
      <c r="AX180" s="98"/>
      <c r="AY180" s="98"/>
      <c r="AZ180" s="115"/>
    </row>
    <row r="181" spans="1:52" s="19" customFormat="1" ht="12.6" customHeight="1" x14ac:dyDescent="0.2">
      <c r="A181" s="72" t="s">
        <v>152</v>
      </c>
      <c r="B181" s="72" t="s">
        <v>129</v>
      </c>
      <c r="C181" s="40"/>
      <c r="D181" s="40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0"/>
      <c r="R181" s="40"/>
      <c r="S181" s="40"/>
      <c r="T181" s="73">
        <v>44550</v>
      </c>
      <c r="U181" s="41"/>
      <c r="V181" s="149" t="s">
        <v>78</v>
      </c>
      <c r="W181" s="42"/>
      <c r="X181" s="2">
        <v>53.9</v>
      </c>
      <c r="Y181" s="113"/>
      <c r="Z181" s="43"/>
      <c r="AA181" s="40"/>
      <c r="AB181" s="40"/>
      <c r="AC181" s="43"/>
      <c r="AD181" s="43"/>
      <c r="AE181" s="43"/>
      <c r="AF181" s="43"/>
      <c r="AG181" s="75">
        <v>44711</v>
      </c>
      <c r="AH181" s="75">
        <v>44711</v>
      </c>
      <c r="AI181" s="77">
        <v>44817</v>
      </c>
      <c r="AJ181" s="79">
        <v>44823</v>
      </c>
      <c r="AK181" s="79">
        <v>44823</v>
      </c>
      <c r="AL181" s="135" t="s">
        <v>31</v>
      </c>
      <c r="AM181" s="73">
        <v>44550</v>
      </c>
      <c r="AN181" s="96"/>
      <c r="AO181" s="96"/>
      <c r="AP181" s="73">
        <v>42800</v>
      </c>
      <c r="AQ181" s="44"/>
      <c r="AR181" s="114"/>
      <c r="AS181" s="98"/>
      <c r="AT181" s="98"/>
      <c r="AU181" s="98"/>
      <c r="AV181" s="98"/>
      <c r="AW181" s="98"/>
      <c r="AX181" s="98"/>
      <c r="AY181" s="98"/>
      <c r="AZ181" s="115"/>
    </row>
    <row r="182" spans="1:52" s="19" customFormat="1" ht="12.6" customHeight="1" x14ac:dyDescent="0.2">
      <c r="A182" s="72" t="s">
        <v>146</v>
      </c>
      <c r="B182" s="72" t="s">
        <v>203</v>
      </c>
      <c r="C182" s="40"/>
      <c r="D182" s="40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0"/>
      <c r="R182" s="40"/>
      <c r="S182" s="40"/>
      <c r="T182" s="73">
        <v>91900</v>
      </c>
      <c r="U182" s="41"/>
      <c r="V182" s="72" t="s">
        <v>87</v>
      </c>
      <c r="W182" s="42"/>
      <c r="X182" s="2">
        <v>53.9</v>
      </c>
      <c r="Y182" s="113"/>
      <c r="Z182" s="43"/>
      <c r="AA182" s="40"/>
      <c r="AB182" s="40"/>
      <c r="AC182" s="43"/>
      <c r="AD182" s="43"/>
      <c r="AE182" s="43"/>
      <c r="AF182" s="43"/>
      <c r="AG182" s="75">
        <v>44810</v>
      </c>
      <c r="AH182" s="75">
        <v>44810</v>
      </c>
      <c r="AI182" s="77">
        <v>44873</v>
      </c>
      <c r="AJ182" s="77">
        <v>44880</v>
      </c>
      <c r="AK182" s="77">
        <v>44880</v>
      </c>
      <c r="AL182" s="135" t="s">
        <v>31</v>
      </c>
      <c r="AM182" s="73">
        <v>91900</v>
      </c>
      <c r="AN182" s="96"/>
      <c r="AO182" s="96"/>
      <c r="AP182" s="73">
        <v>91130</v>
      </c>
      <c r="AQ182" s="44"/>
      <c r="AR182" s="114"/>
      <c r="AS182" s="98"/>
      <c r="AT182" s="98"/>
      <c r="AU182" s="98"/>
      <c r="AV182" s="98"/>
      <c r="AW182" s="98"/>
      <c r="AX182" s="98"/>
      <c r="AY182" s="98"/>
      <c r="AZ182" s="115"/>
    </row>
    <row r="183" spans="1:52" s="19" customFormat="1" ht="12.6" customHeight="1" x14ac:dyDescent="0.2">
      <c r="A183" s="72" t="s">
        <v>144</v>
      </c>
      <c r="B183" s="72" t="s">
        <v>204</v>
      </c>
      <c r="C183" s="40"/>
      <c r="D183" s="40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0"/>
      <c r="R183" s="40"/>
      <c r="S183" s="40"/>
      <c r="T183" s="73">
        <v>5000</v>
      </c>
      <c r="U183" s="41"/>
      <c r="V183" s="149" t="s">
        <v>79</v>
      </c>
      <c r="W183" s="42"/>
      <c r="X183" s="2">
        <v>53.9</v>
      </c>
      <c r="Y183" s="113"/>
      <c r="Z183" s="43"/>
      <c r="AA183" s="40"/>
      <c r="AB183" s="40"/>
      <c r="AC183" s="43"/>
      <c r="AD183" s="43"/>
      <c r="AE183" s="43"/>
      <c r="AF183" s="43"/>
      <c r="AG183" s="75">
        <v>44810</v>
      </c>
      <c r="AH183" s="75">
        <v>44810</v>
      </c>
      <c r="AI183" s="77">
        <v>44873</v>
      </c>
      <c r="AJ183" s="77">
        <v>44880</v>
      </c>
      <c r="AK183" s="77">
        <v>44880</v>
      </c>
      <c r="AL183" s="135" t="s">
        <v>31</v>
      </c>
      <c r="AM183" s="73">
        <v>5000</v>
      </c>
      <c r="AN183" s="96"/>
      <c r="AO183" s="96"/>
      <c r="AP183" s="73">
        <v>4992</v>
      </c>
      <c r="AQ183" s="44"/>
      <c r="AR183" s="114"/>
      <c r="AS183" s="98"/>
      <c r="AT183" s="98"/>
      <c r="AU183" s="98"/>
      <c r="AV183" s="98"/>
      <c r="AW183" s="98"/>
      <c r="AX183" s="98"/>
      <c r="AY183" s="98"/>
      <c r="AZ183" s="115"/>
    </row>
    <row r="184" spans="1:52" s="19" customFormat="1" ht="12.6" customHeight="1" x14ac:dyDescent="0.2">
      <c r="A184" s="72" t="s">
        <v>147</v>
      </c>
      <c r="B184" s="72" t="s">
        <v>184</v>
      </c>
      <c r="C184" s="40"/>
      <c r="D184" s="40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0"/>
      <c r="R184" s="40"/>
      <c r="S184" s="40"/>
      <c r="T184" s="73">
        <v>10000</v>
      </c>
      <c r="U184" s="41"/>
      <c r="V184" s="149" t="s">
        <v>79</v>
      </c>
      <c r="W184" s="42"/>
      <c r="X184" s="2">
        <v>53.9</v>
      </c>
      <c r="Y184" s="113"/>
      <c r="Z184" s="43"/>
      <c r="AA184" s="40"/>
      <c r="AB184" s="40"/>
      <c r="AC184" s="43"/>
      <c r="AD184" s="43"/>
      <c r="AE184" s="43"/>
      <c r="AF184" s="43"/>
      <c r="AG184" s="75">
        <v>44824</v>
      </c>
      <c r="AH184" s="75">
        <v>44824</v>
      </c>
      <c r="AI184" s="77">
        <v>44862</v>
      </c>
      <c r="AJ184" s="77">
        <v>44869</v>
      </c>
      <c r="AK184" s="77">
        <v>44869</v>
      </c>
      <c r="AL184" s="135" t="s">
        <v>31</v>
      </c>
      <c r="AM184" s="73">
        <v>10000</v>
      </c>
      <c r="AN184" s="96"/>
      <c r="AO184" s="96"/>
      <c r="AP184" s="73">
        <v>9940</v>
      </c>
      <c r="AQ184" s="44"/>
      <c r="AR184" s="114"/>
      <c r="AS184" s="98"/>
      <c r="AT184" s="98"/>
      <c r="AU184" s="98"/>
      <c r="AV184" s="98"/>
      <c r="AW184" s="98"/>
      <c r="AX184" s="98"/>
      <c r="AY184" s="98"/>
      <c r="AZ184" s="115"/>
    </row>
    <row r="185" spans="1:52" s="19" customFormat="1" ht="12.6" customHeight="1" x14ac:dyDescent="0.2">
      <c r="A185" s="72" t="s">
        <v>145</v>
      </c>
      <c r="B185" s="72" t="s">
        <v>205</v>
      </c>
      <c r="C185" s="40"/>
      <c r="D185" s="40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0"/>
      <c r="R185" s="40"/>
      <c r="S185" s="40"/>
      <c r="T185" s="73">
        <v>371000</v>
      </c>
      <c r="U185" s="41"/>
      <c r="V185" s="150" t="s">
        <v>79</v>
      </c>
      <c r="W185" s="42"/>
      <c r="X185" s="2">
        <v>53.9</v>
      </c>
      <c r="Y185" s="113"/>
      <c r="Z185" s="43"/>
      <c r="AA185" s="40"/>
      <c r="AB185" s="40"/>
      <c r="AC185" s="43"/>
      <c r="AD185" s="43"/>
      <c r="AE185" s="43"/>
      <c r="AF185" s="43"/>
      <c r="AG185" s="75">
        <v>44824</v>
      </c>
      <c r="AH185" s="75">
        <v>44824</v>
      </c>
      <c r="AI185" s="77">
        <v>44852</v>
      </c>
      <c r="AJ185" s="148">
        <v>44859</v>
      </c>
      <c r="AK185" s="148">
        <v>44859</v>
      </c>
      <c r="AL185" s="135" t="s">
        <v>31</v>
      </c>
      <c r="AM185" s="73">
        <v>371000</v>
      </c>
      <c r="AN185" s="96"/>
      <c r="AO185" s="96"/>
      <c r="AP185" s="73">
        <v>366075</v>
      </c>
      <c r="AQ185" s="44"/>
      <c r="AR185" s="114"/>
      <c r="AS185" s="98"/>
      <c r="AT185" s="98"/>
      <c r="AU185" s="98"/>
      <c r="AV185" s="98"/>
      <c r="AW185" s="98"/>
      <c r="AX185" s="98"/>
      <c r="AY185" s="98"/>
      <c r="AZ185" s="115"/>
    </row>
    <row r="186" spans="1:52" s="19" customFormat="1" ht="12.6" customHeight="1" x14ac:dyDescent="0.2">
      <c r="A186" s="72" t="s">
        <v>147</v>
      </c>
      <c r="B186" s="72" t="s">
        <v>119</v>
      </c>
      <c r="C186" s="40"/>
      <c r="D186" s="40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0"/>
      <c r="R186" s="40"/>
      <c r="S186" s="40"/>
      <c r="T186" s="73">
        <f>18000+16000</f>
        <v>34000</v>
      </c>
      <c r="U186" s="41"/>
      <c r="V186" s="72" t="s">
        <v>82</v>
      </c>
      <c r="W186" s="42"/>
      <c r="X186" s="2">
        <v>53.9</v>
      </c>
      <c r="Y186" s="113"/>
      <c r="Z186" s="43"/>
      <c r="AA186" s="40"/>
      <c r="AB186" s="40"/>
      <c r="AC186" s="43"/>
      <c r="AD186" s="43"/>
      <c r="AE186" s="43"/>
      <c r="AF186" s="43"/>
      <c r="AG186" s="142">
        <v>44602</v>
      </c>
      <c r="AH186" s="142">
        <v>44602</v>
      </c>
      <c r="AI186" s="77">
        <v>44734</v>
      </c>
      <c r="AJ186" s="79">
        <v>44741</v>
      </c>
      <c r="AK186" s="79">
        <v>44741</v>
      </c>
      <c r="AL186" s="135" t="s">
        <v>31</v>
      </c>
      <c r="AM186" s="73">
        <f>18000+16000</f>
        <v>34000</v>
      </c>
      <c r="AN186" s="96"/>
      <c r="AO186" s="96"/>
      <c r="AP186" s="73">
        <f>17700+15600</f>
        <v>33300</v>
      </c>
      <c r="AQ186" s="44"/>
      <c r="AR186" s="114"/>
      <c r="AS186" s="98"/>
      <c r="AT186" s="98"/>
      <c r="AU186" s="98"/>
      <c r="AV186" s="98"/>
      <c r="AW186" s="98"/>
      <c r="AX186" s="98"/>
      <c r="AY186" s="98"/>
      <c r="AZ186" s="115"/>
    </row>
    <row r="187" spans="1:52" s="19" customFormat="1" ht="12.6" customHeight="1" x14ac:dyDescent="0.2">
      <c r="A187" s="72" t="s">
        <v>137</v>
      </c>
      <c r="B187" s="72" t="s">
        <v>112</v>
      </c>
      <c r="C187" s="40"/>
      <c r="D187" s="40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0"/>
      <c r="R187" s="40"/>
      <c r="S187" s="40"/>
      <c r="T187" s="73">
        <f>72000+4000+2000+50000</f>
        <v>128000</v>
      </c>
      <c r="U187" s="41"/>
      <c r="V187" s="72" t="s">
        <v>89</v>
      </c>
      <c r="W187" s="42"/>
      <c r="X187" s="2">
        <v>53.9</v>
      </c>
      <c r="Y187" s="113"/>
      <c r="Z187" s="43"/>
      <c r="AA187" s="40"/>
      <c r="AB187" s="40"/>
      <c r="AC187" s="43"/>
      <c r="AD187" s="43"/>
      <c r="AE187" s="43"/>
      <c r="AF187" s="43"/>
      <c r="AG187" s="76">
        <v>44671</v>
      </c>
      <c r="AH187" s="76">
        <v>44671</v>
      </c>
      <c r="AI187" s="77">
        <v>44820</v>
      </c>
      <c r="AJ187" s="79">
        <v>44827</v>
      </c>
      <c r="AK187" s="79">
        <v>44827</v>
      </c>
      <c r="AL187" s="135" t="s">
        <v>31</v>
      </c>
      <c r="AM187" s="73">
        <f>72000+4000+2000+50000</f>
        <v>128000</v>
      </c>
      <c r="AN187" s="96"/>
      <c r="AO187" s="96"/>
      <c r="AP187" s="73">
        <v>127334.5</v>
      </c>
      <c r="AQ187" s="44"/>
      <c r="AR187" s="114"/>
      <c r="AS187" s="98"/>
      <c r="AT187" s="98"/>
      <c r="AU187" s="98"/>
      <c r="AV187" s="98"/>
      <c r="AW187" s="98"/>
      <c r="AX187" s="98"/>
      <c r="AY187" s="98"/>
      <c r="AZ187" s="115"/>
    </row>
    <row r="188" spans="1:52" s="19" customFormat="1" ht="12.6" customHeight="1" x14ac:dyDescent="0.2">
      <c r="A188" s="72" t="s">
        <v>139</v>
      </c>
      <c r="B188" s="72" t="s">
        <v>198</v>
      </c>
      <c r="C188" s="40"/>
      <c r="D188" s="40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0"/>
      <c r="R188" s="40"/>
      <c r="S188" s="40"/>
      <c r="T188" s="73">
        <v>10000</v>
      </c>
      <c r="U188" s="41"/>
      <c r="V188" s="72" t="s">
        <v>93</v>
      </c>
      <c r="W188" s="42"/>
      <c r="X188" s="2">
        <v>53.9</v>
      </c>
      <c r="Y188" s="113"/>
      <c r="Z188" s="43"/>
      <c r="AA188" s="40"/>
      <c r="AB188" s="40"/>
      <c r="AC188" s="43"/>
      <c r="AD188" s="43"/>
      <c r="AE188" s="43"/>
      <c r="AF188" s="43"/>
      <c r="AG188" s="75">
        <v>44825</v>
      </c>
      <c r="AH188" s="75">
        <v>44825</v>
      </c>
      <c r="AI188" s="77">
        <v>44874</v>
      </c>
      <c r="AJ188" s="148">
        <v>44881</v>
      </c>
      <c r="AK188" s="148">
        <v>44881</v>
      </c>
      <c r="AL188" s="135" t="s">
        <v>31</v>
      </c>
      <c r="AM188" s="73">
        <v>10000</v>
      </c>
      <c r="AN188" s="96"/>
      <c r="AO188" s="96"/>
      <c r="AP188" s="73">
        <v>9825</v>
      </c>
      <c r="AQ188" s="44"/>
      <c r="AR188" s="114"/>
      <c r="AS188" s="98"/>
      <c r="AT188" s="98"/>
      <c r="AU188" s="98"/>
      <c r="AV188" s="98"/>
      <c r="AW188" s="98"/>
      <c r="AX188" s="98"/>
      <c r="AY188" s="98"/>
      <c r="AZ188" s="115"/>
    </row>
    <row r="189" spans="1:52" s="19" customFormat="1" ht="12.6" customHeight="1" x14ac:dyDescent="0.2">
      <c r="A189" s="72" t="s">
        <v>143</v>
      </c>
      <c r="B189" s="72" t="s">
        <v>185</v>
      </c>
      <c r="C189" s="40"/>
      <c r="D189" s="40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0"/>
      <c r="R189" s="40"/>
      <c r="S189" s="40"/>
      <c r="T189" s="73">
        <v>19800</v>
      </c>
      <c r="U189" s="41"/>
      <c r="V189" s="72" t="s">
        <v>96</v>
      </c>
      <c r="W189" s="42"/>
      <c r="X189" s="2">
        <v>53.9</v>
      </c>
      <c r="Y189" s="113"/>
      <c r="Z189" s="43"/>
      <c r="AA189" s="40"/>
      <c r="AB189" s="40"/>
      <c r="AC189" s="43"/>
      <c r="AD189" s="43"/>
      <c r="AE189" s="43"/>
      <c r="AF189" s="43"/>
      <c r="AG189" s="75">
        <v>44825</v>
      </c>
      <c r="AH189" s="75">
        <v>44825</v>
      </c>
      <c r="AI189" s="77">
        <v>44872</v>
      </c>
      <c r="AJ189" s="148">
        <v>44879</v>
      </c>
      <c r="AK189" s="148">
        <v>44879</v>
      </c>
      <c r="AL189" s="135" t="s">
        <v>31</v>
      </c>
      <c r="AM189" s="73">
        <v>19800</v>
      </c>
      <c r="AN189" s="96"/>
      <c r="AO189" s="96"/>
      <c r="AP189" s="73">
        <v>19315</v>
      </c>
      <c r="AQ189" s="44"/>
      <c r="AR189" s="114"/>
      <c r="AS189" s="98"/>
      <c r="AT189" s="98"/>
      <c r="AU189" s="98"/>
      <c r="AV189" s="98"/>
      <c r="AW189" s="98"/>
      <c r="AX189" s="98"/>
      <c r="AY189" s="98"/>
      <c r="AZ189" s="115"/>
    </row>
    <row r="190" spans="1:52" s="19" customFormat="1" ht="12.6" customHeight="1" x14ac:dyDescent="0.2">
      <c r="A190" s="72" t="s">
        <v>142</v>
      </c>
      <c r="B190" s="72" t="s">
        <v>187</v>
      </c>
      <c r="C190" s="40"/>
      <c r="D190" s="40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0"/>
      <c r="R190" s="40"/>
      <c r="S190" s="40"/>
      <c r="T190" s="73">
        <v>21000</v>
      </c>
      <c r="U190" s="41"/>
      <c r="V190" s="72" t="s">
        <v>85</v>
      </c>
      <c r="W190" s="42"/>
      <c r="X190" s="2">
        <v>53.9</v>
      </c>
      <c r="Y190" s="113"/>
      <c r="Z190" s="43"/>
      <c r="AA190" s="40"/>
      <c r="AB190" s="40"/>
      <c r="AC190" s="43"/>
      <c r="AD190" s="43"/>
      <c r="AE190" s="43"/>
      <c r="AF190" s="43"/>
      <c r="AG190" s="75">
        <v>44806</v>
      </c>
      <c r="AH190" s="75">
        <v>44806</v>
      </c>
      <c r="AI190" s="77">
        <v>44848</v>
      </c>
      <c r="AJ190" s="148">
        <v>44855</v>
      </c>
      <c r="AK190" s="148">
        <v>44855</v>
      </c>
      <c r="AL190" s="135" t="s">
        <v>31</v>
      </c>
      <c r="AM190" s="73">
        <v>21000</v>
      </c>
      <c r="AN190" s="96"/>
      <c r="AO190" s="96"/>
      <c r="AP190" s="73">
        <v>20790</v>
      </c>
      <c r="AQ190" s="44"/>
      <c r="AR190" s="114"/>
      <c r="AS190" s="98"/>
      <c r="AT190" s="98"/>
      <c r="AU190" s="98"/>
      <c r="AV190" s="98"/>
      <c r="AW190" s="98"/>
      <c r="AX190" s="98"/>
      <c r="AY190" s="98"/>
      <c r="AZ190" s="115"/>
    </row>
    <row r="191" spans="1:52" s="19" customFormat="1" ht="12.6" customHeight="1" x14ac:dyDescent="0.2">
      <c r="A191" s="72" t="s">
        <v>142</v>
      </c>
      <c r="B191" s="72" t="s">
        <v>187</v>
      </c>
      <c r="C191" s="40"/>
      <c r="D191" s="40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0"/>
      <c r="R191" s="40"/>
      <c r="S191" s="40"/>
      <c r="T191" s="73">
        <v>6000</v>
      </c>
      <c r="U191" s="41"/>
      <c r="V191" s="72" t="s">
        <v>101</v>
      </c>
      <c r="W191" s="42"/>
      <c r="X191" s="2">
        <v>53.9</v>
      </c>
      <c r="Y191" s="113"/>
      <c r="Z191" s="43"/>
      <c r="AA191" s="40"/>
      <c r="AB191" s="40"/>
      <c r="AC191" s="43"/>
      <c r="AD191" s="43"/>
      <c r="AE191" s="43"/>
      <c r="AF191" s="43"/>
      <c r="AG191" s="75">
        <v>44806</v>
      </c>
      <c r="AH191" s="75">
        <v>44806</v>
      </c>
      <c r="AI191" s="77">
        <v>44862</v>
      </c>
      <c r="AJ191" s="152">
        <v>44869</v>
      </c>
      <c r="AK191" s="152">
        <v>44869</v>
      </c>
      <c r="AL191" s="135" t="s">
        <v>31</v>
      </c>
      <c r="AM191" s="73">
        <v>6000</v>
      </c>
      <c r="AN191" s="96"/>
      <c r="AO191" s="96"/>
      <c r="AP191" s="73">
        <v>5700</v>
      </c>
      <c r="AQ191" s="44"/>
      <c r="AR191" s="114"/>
      <c r="AS191" s="98"/>
      <c r="AT191" s="98"/>
      <c r="AU191" s="98"/>
      <c r="AV191" s="98"/>
      <c r="AW191" s="98"/>
      <c r="AX191" s="98"/>
      <c r="AY191" s="98"/>
      <c r="AZ191" s="115"/>
    </row>
    <row r="192" spans="1:52" s="19" customFormat="1" ht="12.6" customHeight="1" x14ac:dyDescent="0.2">
      <c r="A192" s="72" t="s">
        <v>150</v>
      </c>
      <c r="B192" s="72" t="s">
        <v>188</v>
      </c>
      <c r="C192" s="40"/>
      <c r="D192" s="40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0"/>
      <c r="R192" s="40"/>
      <c r="S192" s="40"/>
      <c r="T192" s="73">
        <v>30000</v>
      </c>
      <c r="U192" s="41"/>
      <c r="V192" s="149" t="s">
        <v>91</v>
      </c>
      <c r="W192" s="42"/>
      <c r="X192" s="2">
        <v>53.9</v>
      </c>
      <c r="Y192" s="113"/>
      <c r="Z192" s="43"/>
      <c r="AA192" s="40"/>
      <c r="AB192" s="40"/>
      <c r="AC192" s="43"/>
      <c r="AD192" s="43"/>
      <c r="AE192" s="43"/>
      <c r="AF192" s="43"/>
      <c r="AG192" s="75">
        <v>44806</v>
      </c>
      <c r="AH192" s="75">
        <v>44806</v>
      </c>
      <c r="AI192" s="77">
        <v>44862</v>
      </c>
      <c r="AJ192" s="152">
        <v>44869</v>
      </c>
      <c r="AK192" s="152">
        <v>44869</v>
      </c>
      <c r="AL192" s="135" t="s">
        <v>31</v>
      </c>
      <c r="AM192" s="73">
        <v>30000</v>
      </c>
      <c r="AN192" s="96"/>
      <c r="AO192" s="96"/>
      <c r="AP192" s="73">
        <v>29400</v>
      </c>
      <c r="AQ192" s="44"/>
      <c r="AR192" s="114"/>
      <c r="AS192" s="98"/>
      <c r="AT192" s="98"/>
      <c r="AU192" s="98"/>
      <c r="AV192" s="98"/>
      <c r="AW192" s="98"/>
      <c r="AX192" s="98"/>
      <c r="AY192" s="98"/>
      <c r="AZ192" s="115"/>
    </row>
    <row r="193" spans="1:52" s="19" customFormat="1" ht="12.6" customHeight="1" x14ac:dyDescent="0.2">
      <c r="A193" s="72" t="s">
        <v>138</v>
      </c>
      <c r="B193" s="72" t="s">
        <v>197</v>
      </c>
      <c r="C193" s="40"/>
      <c r="D193" s="40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0"/>
      <c r="R193" s="40"/>
      <c r="S193" s="40"/>
      <c r="T193" s="73">
        <v>116900</v>
      </c>
      <c r="U193" s="41"/>
      <c r="V193" s="149" t="s">
        <v>91</v>
      </c>
      <c r="W193" s="42"/>
      <c r="X193" s="2">
        <v>53.9</v>
      </c>
      <c r="Y193" s="113"/>
      <c r="Z193" s="43"/>
      <c r="AA193" s="40"/>
      <c r="AB193" s="40"/>
      <c r="AC193" s="43"/>
      <c r="AD193" s="43"/>
      <c r="AE193" s="43"/>
      <c r="AF193" s="43"/>
      <c r="AG193" s="75">
        <v>44824</v>
      </c>
      <c r="AH193" s="75">
        <v>44824</v>
      </c>
      <c r="AI193" s="77">
        <v>44881</v>
      </c>
      <c r="AJ193" s="148">
        <v>44888</v>
      </c>
      <c r="AK193" s="148">
        <v>44888</v>
      </c>
      <c r="AL193" s="135" t="s">
        <v>31</v>
      </c>
      <c r="AM193" s="73">
        <v>116900</v>
      </c>
      <c r="AN193" s="96"/>
      <c r="AO193" s="96"/>
      <c r="AP193" s="73">
        <v>116205</v>
      </c>
      <c r="AQ193" s="44"/>
      <c r="AR193" s="114"/>
      <c r="AS193" s="98"/>
      <c r="AT193" s="98"/>
      <c r="AU193" s="98"/>
      <c r="AV193" s="98"/>
      <c r="AW193" s="98"/>
      <c r="AX193" s="98"/>
      <c r="AY193" s="98"/>
      <c r="AZ193" s="115"/>
    </row>
    <row r="194" spans="1:52" s="19" customFormat="1" ht="12.6" customHeight="1" x14ac:dyDescent="0.2">
      <c r="A194" s="72" t="s">
        <v>141</v>
      </c>
      <c r="B194" s="72" t="s">
        <v>130</v>
      </c>
      <c r="C194" s="40"/>
      <c r="D194" s="40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0"/>
      <c r="R194" s="40"/>
      <c r="S194" s="40"/>
      <c r="T194" s="73">
        <v>163000</v>
      </c>
      <c r="U194" s="41"/>
      <c r="V194" s="145" t="s">
        <v>78</v>
      </c>
      <c r="W194" s="42"/>
      <c r="X194" s="2">
        <v>53.9</v>
      </c>
      <c r="Y194" s="113"/>
      <c r="Z194" s="43"/>
      <c r="AA194" s="40"/>
      <c r="AB194" s="40"/>
      <c r="AC194" s="43"/>
      <c r="AD194" s="43"/>
      <c r="AE194" s="43"/>
      <c r="AF194" s="43"/>
      <c r="AG194" s="75">
        <v>44832</v>
      </c>
      <c r="AH194" s="75">
        <v>44832</v>
      </c>
      <c r="AI194" s="77">
        <v>44873</v>
      </c>
      <c r="AJ194" s="77">
        <v>44880</v>
      </c>
      <c r="AK194" s="77">
        <v>44880</v>
      </c>
      <c r="AL194" s="135" t="s">
        <v>31</v>
      </c>
      <c r="AM194" s="73">
        <v>163000</v>
      </c>
      <c r="AN194" s="96"/>
      <c r="AO194" s="96"/>
      <c r="AP194" s="73">
        <v>161196</v>
      </c>
      <c r="AQ194" s="44"/>
      <c r="AR194" s="114"/>
      <c r="AS194" s="98"/>
      <c r="AT194" s="98"/>
      <c r="AU194" s="98"/>
      <c r="AV194" s="98"/>
      <c r="AW194" s="98"/>
      <c r="AX194" s="98"/>
      <c r="AY194" s="98"/>
      <c r="AZ194" s="115"/>
    </row>
    <row r="195" spans="1:52" s="19" customFormat="1" ht="12.6" customHeight="1" x14ac:dyDescent="0.2">
      <c r="A195" s="72" t="s">
        <v>146</v>
      </c>
      <c r="B195" s="72" t="s">
        <v>121</v>
      </c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0"/>
      <c r="R195" s="40"/>
      <c r="S195" s="40"/>
      <c r="T195" s="73">
        <v>100000</v>
      </c>
      <c r="U195" s="41"/>
      <c r="V195" s="145" t="s">
        <v>93</v>
      </c>
      <c r="W195" s="42"/>
      <c r="X195" s="2">
        <v>53.9</v>
      </c>
      <c r="Y195" s="113"/>
      <c r="Z195" s="43"/>
      <c r="AA195" s="40"/>
      <c r="AB195" s="40"/>
      <c r="AC195" s="43"/>
      <c r="AD195" s="43"/>
      <c r="AE195" s="43"/>
      <c r="AF195" s="43"/>
      <c r="AG195" s="75">
        <v>44728</v>
      </c>
      <c r="AH195" s="75">
        <v>44728</v>
      </c>
      <c r="AI195" s="77">
        <v>44824</v>
      </c>
      <c r="AJ195" s="79">
        <v>44831</v>
      </c>
      <c r="AK195" s="79">
        <v>44831</v>
      </c>
      <c r="AL195" s="135" t="s">
        <v>31</v>
      </c>
      <c r="AM195" s="73">
        <v>100000</v>
      </c>
      <c r="AN195" s="96"/>
      <c r="AO195" s="96"/>
      <c r="AP195" s="73">
        <v>99300</v>
      </c>
      <c r="AQ195" s="44"/>
      <c r="AR195" s="114"/>
      <c r="AS195" s="98"/>
      <c r="AT195" s="98"/>
      <c r="AU195" s="98"/>
      <c r="AV195" s="98"/>
      <c r="AW195" s="98"/>
      <c r="AX195" s="98"/>
      <c r="AY195" s="98"/>
      <c r="AZ195" s="115"/>
    </row>
    <row r="196" spans="1:52" s="19" customFormat="1" ht="12.6" customHeight="1" x14ac:dyDescent="0.2">
      <c r="A196" s="72" t="s">
        <v>143</v>
      </c>
      <c r="B196" s="72" t="s">
        <v>128</v>
      </c>
      <c r="C196" s="40"/>
      <c r="D196" s="40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0"/>
      <c r="R196" s="40"/>
      <c r="S196" s="40"/>
      <c r="T196" s="73">
        <f>43000+40000+27000</f>
        <v>110000</v>
      </c>
      <c r="U196" s="41"/>
      <c r="V196" s="145" t="s">
        <v>100</v>
      </c>
      <c r="W196" s="42"/>
      <c r="X196" s="2">
        <v>53.9</v>
      </c>
      <c r="Y196" s="113"/>
      <c r="Z196" s="43"/>
      <c r="AA196" s="40"/>
      <c r="AB196" s="40"/>
      <c r="AC196" s="43"/>
      <c r="AD196" s="43"/>
      <c r="AE196" s="43"/>
      <c r="AF196" s="43"/>
      <c r="AG196" s="75">
        <v>44711</v>
      </c>
      <c r="AH196" s="75">
        <v>44711</v>
      </c>
      <c r="AI196" s="77">
        <v>44753</v>
      </c>
      <c r="AJ196" s="79">
        <v>44757</v>
      </c>
      <c r="AK196" s="79">
        <v>44757</v>
      </c>
      <c r="AL196" s="135" t="s">
        <v>31</v>
      </c>
      <c r="AM196" s="73">
        <f>43000+40000+27000</f>
        <v>110000</v>
      </c>
      <c r="AN196" s="96"/>
      <c r="AO196" s="96"/>
      <c r="AP196" s="73">
        <v>109169</v>
      </c>
      <c r="AQ196" s="44"/>
      <c r="AR196" s="114"/>
      <c r="AS196" s="98"/>
      <c r="AT196" s="98"/>
      <c r="AU196" s="98"/>
      <c r="AV196" s="98"/>
      <c r="AW196" s="98"/>
      <c r="AX196" s="98"/>
      <c r="AY196" s="98"/>
      <c r="AZ196" s="115"/>
    </row>
    <row r="197" spans="1:52" s="19" customFormat="1" ht="12.6" customHeight="1" x14ac:dyDescent="0.2">
      <c r="A197" s="72" t="s">
        <v>143</v>
      </c>
      <c r="B197" s="72" t="s">
        <v>185</v>
      </c>
      <c r="C197" s="40"/>
      <c r="D197" s="40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0"/>
      <c r="R197" s="40"/>
      <c r="S197" s="40"/>
      <c r="T197" s="73">
        <v>45000</v>
      </c>
      <c r="U197" s="41"/>
      <c r="V197" s="145" t="s">
        <v>88</v>
      </c>
      <c r="W197" s="42"/>
      <c r="X197" s="2">
        <v>53.9</v>
      </c>
      <c r="Y197" s="113"/>
      <c r="Z197" s="43"/>
      <c r="AA197" s="40"/>
      <c r="AB197" s="40"/>
      <c r="AC197" s="43"/>
      <c r="AD197" s="43"/>
      <c r="AE197" s="43"/>
      <c r="AF197" s="43"/>
      <c r="AG197" s="75">
        <v>44832</v>
      </c>
      <c r="AH197" s="75">
        <v>44832</v>
      </c>
      <c r="AI197" s="77">
        <v>44862</v>
      </c>
      <c r="AJ197" s="77">
        <v>44869</v>
      </c>
      <c r="AK197" s="77">
        <v>44869</v>
      </c>
      <c r="AL197" s="135" t="s">
        <v>31</v>
      </c>
      <c r="AM197" s="73">
        <v>45000</v>
      </c>
      <c r="AN197" s="96"/>
      <c r="AO197" s="96"/>
      <c r="AP197" s="73">
        <v>44393</v>
      </c>
      <c r="AQ197" s="44"/>
      <c r="AR197" s="114"/>
      <c r="AS197" s="98"/>
      <c r="AT197" s="98"/>
      <c r="AU197" s="98"/>
      <c r="AV197" s="98"/>
      <c r="AW197" s="98"/>
      <c r="AX197" s="98"/>
      <c r="AY197" s="98"/>
      <c r="AZ197" s="115"/>
    </row>
    <row r="198" spans="1:52" s="19" customFormat="1" ht="12.6" customHeight="1" x14ac:dyDescent="0.2">
      <c r="A198" s="72" t="s">
        <v>138</v>
      </c>
      <c r="B198" s="72" t="s">
        <v>197</v>
      </c>
      <c r="C198" s="40"/>
      <c r="D198" s="40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0"/>
      <c r="R198" s="40"/>
      <c r="S198" s="40"/>
      <c r="T198" s="73">
        <v>62825</v>
      </c>
      <c r="U198" s="41"/>
      <c r="V198" s="145" t="s">
        <v>80</v>
      </c>
      <c r="W198" s="42"/>
      <c r="X198" s="2">
        <v>53.9</v>
      </c>
      <c r="Y198" s="113"/>
      <c r="Z198" s="43"/>
      <c r="AA198" s="40"/>
      <c r="AB198" s="40"/>
      <c r="AC198" s="43"/>
      <c r="AD198" s="43"/>
      <c r="AE198" s="43"/>
      <c r="AF198" s="43"/>
      <c r="AG198" s="75">
        <v>44832</v>
      </c>
      <c r="AH198" s="75">
        <v>44832</v>
      </c>
      <c r="AI198" s="77">
        <v>44869</v>
      </c>
      <c r="AJ198" s="77">
        <v>44873</v>
      </c>
      <c r="AK198" s="77">
        <v>44873</v>
      </c>
      <c r="AL198" s="135" t="s">
        <v>31</v>
      </c>
      <c r="AM198" s="73">
        <v>62825</v>
      </c>
      <c r="AN198" s="96"/>
      <c r="AO198" s="96"/>
      <c r="AP198" s="73">
        <v>61866</v>
      </c>
      <c r="AQ198" s="44"/>
      <c r="AR198" s="114"/>
      <c r="AS198" s="98"/>
      <c r="AT198" s="98"/>
      <c r="AU198" s="98"/>
      <c r="AV198" s="98"/>
      <c r="AW198" s="98"/>
      <c r="AX198" s="98"/>
      <c r="AY198" s="98"/>
      <c r="AZ198" s="115"/>
    </row>
    <row r="199" spans="1:52" s="19" customFormat="1" ht="12.6" customHeight="1" x14ac:dyDescent="0.2">
      <c r="A199" s="72" t="s">
        <v>143</v>
      </c>
      <c r="B199" s="72" t="s">
        <v>185</v>
      </c>
      <c r="C199" s="40"/>
      <c r="D199" s="40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0"/>
      <c r="R199" s="40"/>
      <c r="S199" s="40"/>
      <c r="T199" s="73">
        <v>5000</v>
      </c>
      <c r="U199" s="41"/>
      <c r="V199" s="149" t="s">
        <v>82</v>
      </c>
      <c r="W199" s="42"/>
      <c r="X199" s="2">
        <v>53.9</v>
      </c>
      <c r="Y199" s="113"/>
      <c r="Z199" s="43"/>
      <c r="AA199" s="40"/>
      <c r="AB199" s="40"/>
      <c r="AC199" s="43"/>
      <c r="AD199" s="43"/>
      <c r="AE199" s="43"/>
      <c r="AF199" s="43"/>
      <c r="AG199" s="75">
        <v>44832</v>
      </c>
      <c r="AH199" s="75">
        <v>44832</v>
      </c>
      <c r="AI199" s="77">
        <v>44869</v>
      </c>
      <c r="AJ199" s="77">
        <v>44873</v>
      </c>
      <c r="AK199" s="77">
        <v>44873</v>
      </c>
      <c r="AL199" s="135" t="s">
        <v>31</v>
      </c>
      <c r="AM199" s="73">
        <v>5000</v>
      </c>
      <c r="AN199" s="96"/>
      <c r="AO199" s="96"/>
      <c r="AP199" s="73">
        <v>4849</v>
      </c>
      <c r="AQ199" s="44"/>
      <c r="AR199" s="114"/>
      <c r="AS199" s="98"/>
      <c r="AT199" s="98"/>
      <c r="AU199" s="98"/>
      <c r="AV199" s="98"/>
      <c r="AW199" s="98"/>
      <c r="AX199" s="98"/>
      <c r="AY199" s="98"/>
      <c r="AZ199" s="115"/>
    </row>
    <row r="200" spans="1:52" s="19" customFormat="1" ht="12.6" customHeight="1" x14ac:dyDescent="0.2">
      <c r="A200" s="72" t="s">
        <v>147</v>
      </c>
      <c r="B200" s="72" t="s">
        <v>184</v>
      </c>
      <c r="C200" s="40"/>
      <c r="D200" s="40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0"/>
      <c r="R200" s="40"/>
      <c r="S200" s="40"/>
      <c r="T200" s="73">
        <v>20000</v>
      </c>
      <c r="U200" s="41"/>
      <c r="V200" s="149" t="s">
        <v>82</v>
      </c>
      <c r="W200" s="42"/>
      <c r="X200" s="2">
        <v>53.9</v>
      </c>
      <c r="Y200" s="113"/>
      <c r="Z200" s="43"/>
      <c r="AA200" s="40"/>
      <c r="AB200" s="40"/>
      <c r="AC200" s="43"/>
      <c r="AD200" s="43"/>
      <c r="AE200" s="43"/>
      <c r="AF200" s="43"/>
      <c r="AG200" s="75">
        <v>44812</v>
      </c>
      <c r="AH200" s="75">
        <v>44812</v>
      </c>
      <c r="AI200" s="77">
        <v>44851</v>
      </c>
      <c r="AJ200" s="77">
        <v>44858</v>
      </c>
      <c r="AK200" s="77">
        <v>44858</v>
      </c>
      <c r="AL200" s="135" t="s">
        <v>31</v>
      </c>
      <c r="AM200" s="73">
        <v>20000</v>
      </c>
      <c r="AN200" s="96"/>
      <c r="AO200" s="96"/>
      <c r="AP200" s="73">
        <v>19800</v>
      </c>
      <c r="AQ200" s="44"/>
      <c r="AR200" s="114"/>
      <c r="AS200" s="98"/>
      <c r="AT200" s="98"/>
      <c r="AU200" s="98"/>
      <c r="AV200" s="98"/>
      <c r="AW200" s="98"/>
      <c r="AX200" s="98"/>
      <c r="AY200" s="98"/>
      <c r="AZ200" s="115"/>
    </row>
    <row r="201" spans="1:52" s="19" customFormat="1" ht="12.6" customHeight="1" x14ac:dyDescent="0.2">
      <c r="A201" s="72" t="s">
        <v>139</v>
      </c>
      <c r="B201" s="72" t="s">
        <v>198</v>
      </c>
      <c r="C201" s="40"/>
      <c r="D201" s="40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0"/>
      <c r="R201" s="40"/>
      <c r="S201" s="40"/>
      <c r="T201" s="73">
        <v>90000</v>
      </c>
      <c r="U201" s="41"/>
      <c r="V201" s="147" t="s">
        <v>82</v>
      </c>
      <c r="W201" s="42"/>
      <c r="X201" s="2">
        <v>53.9</v>
      </c>
      <c r="Y201" s="113"/>
      <c r="Z201" s="43"/>
      <c r="AA201" s="40"/>
      <c r="AB201" s="40"/>
      <c r="AC201" s="43"/>
      <c r="AD201" s="43"/>
      <c r="AE201" s="43"/>
      <c r="AF201" s="43"/>
      <c r="AG201" s="75">
        <v>44832</v>
      </c>
      <c r="AH201" s="75">
        <v>44832</v>
      </c>
      <c r="AI201" s="77">
        <v>44868</v>
      </c>
      <c r="AJ201" s="77">
        <v>44875</v>
      </c>
      <c r="AK201" s="77">
        <v>44875</v>
      </c>
      <c r="AL201" s="135" t="s">
        <v>31</v>
      </c>
      <c r="AM201" s="73">
        <v>90000</v>
      </c>
      <c r="AN201" s="96"/>
      <c r="AO201" s="96"/>
      <c r="AP201" s="73">
        <v>89910</v>
      </c>
      <c r="AQ201" s="44"/>
      <c r="AR201" s="114"/>
      <c r="AS201" s="98"/>
      <c r="AT201" s="98"/>
      <c r="AU201" s="98"/>
      <c r="AV201" s="98"/>
      <c r="AW201" s="98"/>
      <c r="AX201" s="98"/>
      <c r="AY201" s="98"/>
      <c r="AZ201" s="115"/>
    </row>
    <row r="202" spans="1:52" s="19" customFormat="1" ht="12.6" customHeight="1" x14ac:dyDescent="0.2">
      <c r="A202" s="72" t="s">
        <v>152</v>
      </c>
      <c r="B202" s="72" t="s">
        <v>129</v>
      </c>
      <c r="C202" s="40"/>
      <c r="D202" s="40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0"/>
      <c r="R202" s="40"/>
      <c r="S202" s="40"/>
      <c r="T202" s="73">
        <v>15000</v>
      </c>
      <c r="U202" s="41"/>
      <c r="V202" s="145" t="s">
        <v>91</v>
      </c>
      <c r="W202" s="42"/>
      <c r="X202" s="2">
        <v>53.9</v>
      </c>
      <c r="Y202" s="113"/>
      <c r="Z202" s="43"/>
      <c r="AA202" s="40"/>
      <c r="AB202" s="40"/>
      <c r="AC202" s="43"/>
      <c r="AD202" s="43"/>
      <c r="AE202" s="43"/>
      <c r="AF202" s="43"/>
      <c r="AG202" s="75">
        <v>44728</v>
      </c>
      <c r="AH202" s="75">
        <v>44728</v>
      </c>
      <c r="AI202" s="77">
        <v>44823</v>
      </c>
      <c r="AJ202" s="79">
        <v>44827</v>
      </c>
      <c r="AK202" s="79">
        <v>44827</v>
      </c>
      <c r="AL202" s="135" t="s">
        <v>31</v>
      </c>
      <c r="AM202" s="73">
        <v>15000</v>
      </c>
      <c r="AN202" s="96"/>
      <c r="AO202" s="96"/>
      <c r="AP202" s="73">
        <v>14922</v>
      </c>
      <c r="AQ202" s="44"/>
      <c r="AR202" s="114"/>
      <c r="AS202" s="98"/>
      <c r="AT202" s="98"/>
      <c r="AU202" s="98"/>
      <c r="AV202" s="98"/>
      <c r="AW202" s="98"/>
      <c r="AX202" s="98"/>
      <c r="AY202" s="98"/>
      <c r="AZ202" s="115"/>
    </row>
    <row r="203" spans="1:52" s="19" customFormat="1" ht="12.6" customHeight="1" x14ac:dyDescent="0.2">
      <c r="A203" s="72" t="s">
        <v>145</v>
      </c>
      <c r="B203" s="72" t="s">
        <v>118</v>
      </c>
      <c r="C203" s="40"/>
      <c r="D203" s="40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0"/>
      <c r="R203" s="40"/>
      <c r="S203" s="40"/>
      <c r="T203" s="73">
        <v>75000</v>
      </c>
      <c r="U203" s="41"/>
      <c r="V203" s="72" t="s">
        <v>100</v>
      </c>
      <c r="W203" s="42"/>
      <c r="X203" s="2">
        <v>53.9</v>
      </c>
      <c r="Y203" s="113"/>
      <c r="Z203" s="43"/>
      <c r="AA203" s="40"/>
      <c r="AB203" s="40"/>
      <c r="AC203" s="43"/>
      <c r="AD203" s="43"/>
      <c r="AE203" s="43"/>
      <c r="AF203" s="43"/>
      <c r="AG203" s="75">
        <v>44704</v>
      </c>
      <c r="AH203" s="75">
        <v>44704</v>
      </c>
      <c r="AI203" s="77">
        <v>44824</v>
      </c>
      <c r="AJ203" s="79">
        <v>44827</v>
      </c>
      <c r="AK203" s="79">
        <v>44827</v>
      </c>
      <c r="AL203" s="135" t="s">
        <v>31</v>
      </c>
      <c r="AM203" s="73">
        <v>75000</v>
      </c>
      <c r="AN203" s="96"/>
      <c r="AO203" s="96"/>
      <c r="AP203" s="73">
        <v>74555</v>
      </c>
      <c r="AQ203" s="44"/>
      <c r="AR203" s="114"/>
      <c r="AS203" s="98"/>
      <c r="AT203" s="98"/>
      <c r="AU203" s="98"/>
      <c r="AV203" s="98"/>
      <c r="AW203" s="98"/>
      <c r="AX203" s="98"/>
      <c r="AY203" s="98"/>
      <c r="AZ203" s="115"/>
    </row>
    <row r="204" spans="1:52" s="19" customFormat="1" ht="12.6" customHeight="1" x14ac:dyDescent="0.2">
      <c r="A204" s="72" t="s">
        <v>142</v>
      </c>
      <c r="B204" s="72" t="s">
        <v>116</v>
      </c>
      <c r="C204" s="40"/>
      <c r="D204" s="40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0"/>
      <c r="R204" s="40"/>
      <c r="S204" s="40"/>
      <c r="T204" s="73">
        <v>122500</v>
      </c>
      <c r="U204" s="41"/>
      <c r="V204" s="72" t="s">
        <v>100</v>
      </c>
      <c r="W204" s="42"/>
      <c r="X204" s="2">
        <v>53.9</v>
      </c>
      <c r="Y204" s="113"/>
      <c r="Z204" s="43"/>
      <c r="AA204" s="40"/>
      <c r="AB204" s="40"/>
      <c r="AC204" s="43"/>
      <c r="AD204" s="43"/>
      <c r="AE204" s="43"/>
      <c r="AF204" s="43"/>
      <c r="AG204" s="75">
        <v>44697</v>
      </c>
      <c r="AH204" s="75">
        <v>44697</v>
      </c>
      <c r="AI204" s="77">
        <v>44838</v>
      </c>
      <c r="AJ204" s="79">
        <v>44845</v>
      </c>
      <c r="AK204" s="79">
        <v>44845</v>
      </c>
      <c r="AL204" s="135" t="s">
        <v>31</v>
      </c>
      <c r="AM204" s="73">
        <v>122500</v>
      </c>
      <c r="AN204" s="96"/>
      <c r="AO204" s="96"/>
      <c r="AP204" s="73">
        <v>122053</v>
      </c>
      <c r="AQ204" s="44"/>
      <c r="AR204" s="114"/>
      <c r="AS204" s="98"/>
      <c r="AT204" s="98"/>
      <c r="AU204" s="98"/>
      <c r="AV204" s="98"/>
      <c r="AW204" s="98"/>
      <c r="AX204" s="98"/>
      <c r="AY204" s="98"/>
      <c r="AZ204" s="115"/>
    </row>
    <row r="205" spans="1:52" s="19" customFormat="1" ht="12.6" customHeight="1" x14ac:dyDescent="0.2">
      <c r="A205" s="72" t="s">
        <v>138</v>
      </c>
      <c r="B205" s="72" t="s">
        <v>125</v>
      </c>
      <c r="C205" s="40"/>
      <c r="D205" s="40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0"/>
      <c r="R205" s="40"/>
      <c r="S205" s="40"/>
      <c r="T205" s="73">
        <v>70350</v>
      </c>
      <c r="U205" s="41"/>
      <c r="V205" s="72" t="s">
        <v>87</v>
      </c>
      <c r="W205" s="42"/>
      <c r="X205" s="2">
        <v>53.9</v>
      </c>
      <c r="Y205" s="113"/>
      <c r="Z205" s="43"/>
      <c r="AA205" s="40"/>
      <c r="AB205" s="40"/>
      <c r="AC205" s="43"/>
      <c r="AD205" s="43"/>
      <c r="AE205" s="43"/>
      <c r="AF205" s="43"/>
      <c r="AG205" s="75">
        <v>44739</v>
      </c>
      <c r="AH205" s="75">
        <v>44739</v>
      </c>
      <c r="AI205" s="77">
        <v>44805</v>
      </c>
      <c r="AJ205" s="79">
        <v>44812</v>
      </c>
      <c r="AK205" s="79">
        <v>44812</v>
      </c>
      <c r="AL205" s="135" t="s">
        <v>31</v>
      </c>
      <c r="AM205" s="73">
        <v>70350</v>
      </c>
      <c r="AN205" s="96"/>
      <c r="AO205" s="96"/>
      <c r="AP205" s="73">
        <v>69995</v>
      </c>
      <c r="AQ205" s="44"/>
      <c r="AR205" s="114"/>
      <c r="AS205" s="98"/>
      <c r="AT205" s="98"/>
      <c r="AU205" s="98"/>
      <c r="AV205" s="98"/>
      <c r="AW205" s="98"/>
      <c r="AX205" s="98"/>
      <c r="AY205" s="98"/>
      <c r="AZ205" s="115"/>
    </row>
    <row r="206" spans="1:52" s="19" customFormat="1" ht="12.6" customHeight="1" x14ac:dyDescent="0.2">
      <c r="A206" s="72" t="s">
        <v>143</v>
      </c>
      <c r="B206" s="72" t="s">
        <v>185</v>
      </c>
      <c r="C206" s="40"/>
      <c r="D206" s="40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0"/>
      <c r="R206" s="40"/>
      <c r="S206" s="40"/>
      <c r="T206" s="73">
        <v>99500</v>
      </c>
      <c r="U206" s="41"/>
      <c r="V206" s="72" t="s">
        <v>88</v>
      </c>
      <c r="W206" s="42"/>
      <c r="X206" s="2">
        <v>53.9</v>
      </c>
      <c r="Y206" s="113"/>
      <c r="Z206" s="43"/>
      <c r="AA206" s="40"/>
      <c r="AB206" s="40"/>
      <c r="AC206" s="43"/>
      <c r="AD206" s="43"/>
      <c r="AE206" s="43"/>
      <c r="AF206" s="43"/>
      <c r="AG206" s="75">
        <v>44810</v>
      </c>
      <c r="AH206" s="75">
        <v>44810</v>
      </c>
      <c r="AI206" s="77">
        <v>44876</v>
      </c>
      <c r="AJ206" s="77">
        <v>44883</v>
      </c>
      <c r="AK206" s="77">
        <v>44883</v>
      </c>
      <c r="AL206" s="135" t="s">
        <v>31</v>
      </c>
      <c r="AM206" s="73">
        <v>99500</v>
      </c>
      <c r="AN206" s="96"/>
      <c r="AO206" s="96"/>
      <c r="AP206" s="73">
        <v>98783</v>
      </c>
      <c r="AQ206" s="44"/>
      <c r="AR206" s="114"/>
      <c r="AS206" s="98"/>
      <c r="AT206" s="98"/>
      <c r="AU206" s="98"/>
      <c r="AV206" s="98"/>
      <c r="AW206" s="98"/>
      <c r="AX206" s="98"/>
      <c r="AY206" s="98"/>
      <c r="AZ206" s="115"/>
    </row>
    <row r="207" spans="1:52" s="19" customFormat="1" ht="12.6" customHeight="1" x14ac:dyDescent="0.2">
      <c r="A207" s="72" t="s">
        <v>138</v>
      </c>
      <c r="B207" s="72" t="s">
        <v>197</v>
      </c>
      <c r="C207" s="40"/>
      <c r="D207" s="40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0"/>
      <c r="R207" s="40"/>
      <c r="S207" s="40"/>
      <c r="T207" s="73">
        <v>19100</v>
      </c>
      <c r="U207" s="41"/>
      <c r="V207" s="149" t="s">
        <v>78</v>
      </c>
      <c r="W207" s="42"/>
      <c r="X207" s="2">
        <v>53.9</v>
      </c>
      <c r="Y207" s="113"/>
      <c r="Z207" s="43"/>
      <c r="AA207" s="40"/>
      <c r="AB207" s="40"/>
      <c r="AC207" s="43"/>
      <c r="AD207" s="43"/>
      <c r="AE207" s="43"/>
      <c r="AF207" s="43"/>
      <c r="AG207" s="75">
        <v>44810</v>
      </c>
      <c r="AH207" s="75">
        <v>44810</v>
      </c>
      <c r="AI207" s="77">
        <v>44876</v>
      </c>
      <c r="AJ207" s="77">
        <v>44883</v>
      </c>
      <c r="AK207" s="77">
        <v>44883</v>
      </c>
      <c r="AL207" s="135" t="s">
        <v>31</v>
      </c>
      <c r="AM207" s="73">
        <v>19100</v>
      </c>
      <c r="AN207" s="96"/>
      <c r="AO207" s="96"/>
      <c r="AP207" s="73">
        <v>18935</v>
      </c>
      <c r="AQ207" s="44"/>
      <c r="AR207" s="114"/>
      <c r="AS207" s="98"/>
      <c r="AT207" s="98"/>
      <c r="AU207" s="98"/>
      <c r="AV207" s="98"/>
      <c r="AW207" s="98"/>
      <c r="AX207" s="98"/>
      <c r="AY207" s="98"/>
      <c r="AZ207" s="115"/>
    </row>
    <row r="208" spans="1:52" s="19" customFormat="1" ht="12.6" customHeight="1" x14ac:dyDescent="0.2">
      <c r="A208" s="72" t="s">
        <v>143</v>
      </c>
      <c r="B208" s="72" t="s">
        <v>185</v>
      </c>
      <c r="C208" s="40"/>
      <c r="D208" s="40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0"/>
      <c r="R208" s="40"/>
      <c r="S208" s="40"/>
      <c r="T208" s="73">
        <v>87570</v>
      </c>
      <c r="U208" s="41"/>
      <c r="V208" s="149" t="s">
        <v>78</v>
      </c>
      <c r="W208" s="42"/>
      <c r="X208" s="2">
        <v>53.9</v>
      </c>
      <c r="Y208" s="113"/>
      <c r="Z208" s="43"/>
      <c r="AA208" s="40"/>
      <c r="AB208" s="40"/>
      <c r="AC208" s="43"/>
      <c r="AD208" s="43"/>
      <c r="AE208" s="43"/>
      <c r="AF208" s="43"/>
      <c r="AG208" s="75">
        <v>44813</v>
      </c>
      <c r="AH208" s="75">
        <v>44813</v>
      </c>
      <c r="AI208" s="77">
        <v>44854</v>
      </c>
      <c r="AJ208" s="77">
        <v>44861</v>
      </c>
      <c r="AK208" s="77">
        <v>44861</v>
      </c>
      <c r="AL208" s="135" t="s">
        <v>31</v>
      </c>
      <c r="AM208" s="73">
        <v>87570</v>
      </c>
      <c r="AN208" s="96"/>
      <c r="AO208" s="96"/>
      <c r="AP208" s="73">
        <v>86135</v>
      </c>
      <c r="AQ208" s="44"/>
      <c r="AR208" s="114"/>
      <c r="AS208" s="98"/>
      <c r="AT208" s="98"/>
      <c r="AU208" s="98"/>
      <c r="AV208" s="98"/>
      <c r="AW208" s="98"/>
      <c r="AX208" s="98"/>
      <c r="AY208" s="98"/>
      <c r="AZ208" s="115"/>
    </row>
    <row r="209" spans="1:52" s="19" customFormat="1" ht="12.6" customHeight="1" x14ac:dyDescent="0.2">
      <c r="A209" s="72" t="s">
        <v>136</v>
      </c>
      <c r="B209" s="72" t="s">
        <v>189</v>
      </c>
      <c r="C209" s="40"/>
      <c r="D209" s="40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0"/>
      <c r="R209" s="40"/>
      <c r="S209" s="40"/>
      <c r="T209" s="73">
        <v>52500</v>
      </c>
      <c r="U209" s="41"/>
      <c r="V209" s="150" t="s">
        <v>95</v>
      </c>
      <c r="W209" s="42"/>
      <c r="X209" s="2">
        <v>53.9</v>
      </c>
      <c r="Y209" s="113"/>
      <c r="Z209" s="43"/>
      <c r="AA209" s="40"/>
      <c r="AB209" s="40"/>
      <c r="AC209" s="43"/>
      <c r="AD209" s="43"/>
      <c r="AE209" s="43"/>
      <c r="AF209" s="43"/>
      <c r="AG209" s="75">
        <v>44832</v>
      </c>
      <c r="AH209" s="75">
        <v>44832</v>
      </c>
      <c r="AI209" s="77">
        <v>44887</v>
      </c>
      <c r="AJ209" s="77">
        <v>44894</v>
      </c>
      <c r="AK209" s="77">
        <v>44894</v>
      </c>
      <c r="AL209" s="135" t="s">
        <v>31</v>
      </c>
      <c r="AM209" s="73">
        <v>52500</v>
      </c>
      <c r="AN209" s="96"/>
      <c r="AO209" s="96"/>
      <c r="AP209" s="73">
        <v>52350</v>
      </c>
      <c r="AQ209" s="44"/>
      <c r="AR209" s="114"/>
      <c r="AS209" s="98"/>
      <c r="AT209" s="98"/>
      <c r="AU209" s="98"/>
      <c r="AV209" s="98"/>
      <c r="AW209" s="98"/>
      <c r="AX209" s="98"/>
      <c r="AY209" s="98"/>
      <c r="AZ209" s="115"/>
    </row>
    <row r="210" spans="1:52" s="19" customFormat="1" ht="12.6" customHeight="1" x14ac:dyDescent="0.2">
      <c r="A210" s="72" t="s">
        <v>136</v>
      </c>
      <c r="B210" s="72" t="s">
        <v>206</v>
      </c>
      <c r="C210" s="40"/>
      <c r="D210" s="40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0"/>
      <c r="R210" s="40"/>
      <c r="S210" s="40"/>
      <c r="T210" s="73">
        <f>12700+850</f>
        <v>13550</v>
      </c>
      <c r="U210" s="41"/>
      <c r="V210" s="72" t="s">
        <v>80</v>
      </c>
      <c r="W210" s="42"/>
      <c r="X210" s="2">
        <v>53.9</v>
      </c>
      <c r="Y210" s="113"/>
      <c r="Z210" s="43"/>
      <c r="AA210" s="40"/>
      <c r="AB210" s="40"/>
      <c r="AC210" s="43"/>
      <c r="AD210" s="43"/>
      <c r="AE210" s="43"/>
      <c r="AF210" s="43"/>
      <c r="AG210" s="75">
        <v>44768</v>
      </c>
      <c r="AH210" s="75">
        <v>44768</v>
      </c>
      <c r="AI210" s="77">
        <v>44852</v>
      </c>
      <c r="AJ210" s="77">
        <v>44859</v>
      </c>
      <c r="AK210" s="77">
        <v>44859</v>
      </c>
      <c r="AL210" s="135" t="s">
        <v>31</v>
      </c>
      <c r="AM210" s="73">
        <f>12700+850</f>
        <v>13550</v>
      </c>
      <c r="AN210" s="96"/>
      <c r="AO210" s="96"/>
      <c r="AP210" s="73">
        <v>13469</v>
      </c>
      <c r="AQ210" s="44"/>
      <c r="AR210" s="114"/>
      <c r="AS210" s="98"/>
      <c r="AT210" s="98"/>
      <c r="AU210" s="98"/>
      <c r="AV210" s="98"/>
      <c r="AW210" s="98"/>
      <c r="AX210" s="98"/>
      <c r="AY210" s="98"/>
      <c r="AZ210" s="115"/>
    </row>
    <row r="211" spans="1:52" s="19" customFormat="1" ht="12.6" customHeight="1" x14ac:dyDescent="0.2">
      <c r="A211" s="72" t="s">
        <v>137</v>
      </c>
      <c r="B211" s="72" t="s">
        <v>112</v>
      </c>
      <c r="C211" s="40"/>
      <c r="D211" s="40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0"/>
      <c r="R211" s="40"/>
      <c r="S211" s="40"/>
      <c r="T211" s="73">
        <v>32500</v>
      </c>
      <c r="U211" s="41"/>
      <c r="V211" s="72" t="s">
        <v>207</v>
      </c>
      <c r="W211" s="42"/>
      <c r="X211" s="2">
        <v>53.9</v>
      </c>
      <c r="Y211" s="113"/>
      <c r="Z211" s="43"/>
      <c r="AA211" s="40"/>
      <c r="AB211" s="40"/>
      <c r="AC211" s="43"/>
      <c r="AD211" s="43"/>
      <c r="AE211" s="43"/>
      <c r="AF211" s="43"/>
      <c r="AG211" s="75">
        <v>44807</v>
      </c>
      <c r="AH211" s="75">
        <v>44807</v>
      </c>
      <c r="AI211" s="77">
        <v>44876</v>
      </c>
      <c r="AJ211" s="148">
        <v>44883</v>
      </c>
      <c r="AK211" s="148">
        <v>44883</v>
      </c>
      <c r="AL211" s="135" t="s">
        <v>31</v>
      </c>
      <c r="AM211" s="73">
        <v>32500</v>
      </c>
      <c r="AN211" s="96"/>
      <c r="AO211" s="96"/>
      <c r="AP211" s="73">
        <v>31624</v>
      </c>
      <c r="AQ211" s="44"/>
      <c r="AR211" s="114"/>
      <c r="AS211" s="98"/>
      <c r="AT211" s="98"/>
      <c r="AU211" s="98"/>
      <c r="AV211" s="98"/>
      <c r="AW211" s="98"/>
      <c r="AX211" s="98"/>
      <c r="AY211" s="98"/>
      <c r="AZ211" s="115"/>
    </row>
    <row r="212" spans="1:52" s="19" customFormat="1" ht="12.6" customHeight="1" x14ac:dyDescent="0.2">
      <c r="A212" s="72" t="s">
        <v>143</v>
      </c>
      <c r="B212" s="72" t="s">
        <v>185</v>
      </c>
      <c r="C212" s="40"/>
      <c r="D212" s="40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0"/>
      <c r="R212" s="40"/>
      <c r="S212" s="40"/>
      <c r="T212" s="73">
        <v>13000</v>
      </c>
      <c r="U212" s="41"/>
      <c r="V212" s="149" t="s">
        <v>79</v>
      </c>
      <c r="W212" s="42"/>
      <c r="X212" s="2">
        <v>53.9</v>
      </c>
      <c r="Y212" s="113"/>
      <c r="Z212" s="43"/>
      <c r="AA212" s="40"/>
      <c r="AB212" s="40"/>
      <c r="AC212" s="43"/>
      <c r="AD212" s="43"/>
      <c r="AE212" s="43"/>
      <c r="AF212" s="43"/>
      <c r="AG212" s="75">
        <v>44810</v>
      </c>
      <c r="AH212" s="75">
        <v>44810</v>
      </c>
      <c r="AI212" s="77">
        <v>44876</v>
      </c>
      <c r="AJ212" s="148">
        <v>44883</v>
      </c>
      <c r="AK212" s="148">
        <v>44883</v>
      </c>
      <c r="AL212" s="135" t="s">
        <v>31</v>
      </c>
      <c r="AM212" s="73">
        <v>13000</v>
      </c>
      <c r="AN212" s="96"/>
      <c r="AO212" s="96"/>
      <c r="AP212" s="73">
        <v>12916</v>
      </c>
      <c r="AQ212" s="44"/>
      <c r="AR212" s="114"/>
      <c r="AS212" s="98"/>
      <c r="AT212" s="98"/>
      <c r="AU212" s="98"/>
      <c r="AV212" s="98"/>
      <c r="AW212" s="98"/>
      <c r="AX212" s="98"/>
      <c r="AY212" s="98"/>
      <c r="AZ212" s="115"/>
    </row>
    <row r="213" spans="1:52" s="19" customFormat="1" ht="12.6" customHeight="1" x14ac:dyDescent="0.2">
      <c r="A213" s="72" t="s">
        <v>136</v>
      </c>
      <c r="B213" s="72" t="s">
        <v>189</v>
      </c>
      <c r="C213" s="40"/>
      <c r="D213" s="40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0"/>
      <c r="R213" s="40"/>
      <c r="S213" s="40"/>
      <c r="T213" s="73">
        <v>3000</v>
      </c>
      <c r="U213" s="41"/>
      <c r="V213" s="149" t="s">
        <v>79</v>
      </c>
      <c r="W213" s="42"/>
      <c r="X213" s="2">
        <v>53.9</v>
      </c>
      <c r="Y213" s="113"/>
      <c r="Z213" s="43"/>
      <c r="AA213" s="40"/>
      <c r="AB213" s="40"/>
      <c r="AC213" s="43"/>
      <c r="AD213" s="43"/>
      <c r="AE213" s="43"/>
      <c r="AF213" s="43"/>
      <c r="AG213" s="75">
        <v>44832</v>
      </c>
      <c r="AH213" s="75">
        <v>44832</v>
      </c>
      <c r="AI213" s="77">
        <v>44887</v>
      </c>
      <c r="AJ213" s="77">
        <v>44894</v>
      </c>
      <c r="AK213" s="77">
        <v>44894</v>
      </c>
      <c r="AL213" s="135" t="s">
        <v>31</v>
      </c>
      <c r="AM213" s="73">
        <v>3000</v>
      </c>
      <c r="AN213" s="96"/>
      <c r="AO213" s="96"/>
      <c r="AP213" s="73">
        <v>2940</v>
      </c>
      <c r="AQ213" s="44"/>
      <c r="AR213" s="114"/>
      <c r="AS213" s="98"/>
      <c r="AT213" s="98"/>
      <c r="AU213" s="98"/>
      <c r="AV213" s="98"/>
      <c r="AW213" s="98"/>
      <c r="AX213" s="98"/>
      <c r="AY213" s="98"/>
      <c r="AZ213" s="115"/>
    </row>
    <row r="214" spans="1:52" s="19" customFormat="1" ht="12.6" customHeight="1" x14ac:dyDescent="0.2">
      <c r="A214" s="72" t="s">
        <v>139</v>
      </c>
      <c r="B214" s="72" t="s">
        <v>114</v>
      </c>
      <c r="C214" s="40"/>
      <c r="D214" s="40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0"/>
      <c r="R214" s="40"/>
      <c r="S214" s="40"/>
      <c r="T214" s="73">
        <v>5000</v>
      </c>
      <c r="U214" s="41"/>
      <c r="V214" s="150" t="s">
        <v>86</v>
      </c>
      <c r="W214" s="42"/>
      <c r="X214" s="2">
        <v>53.9</v>
      </c>
      <c r="Y214" s="113"/>
      <c r="Z214" s="43"/>
      <c r="AA214" s="40"/>
      <c r="AB214" s="40"/>
      <c r="AC214" s="43"/>
      <c r="AD214" s="43"/>
      <c r="AE214" s="43"/>
      <c r="AF214" s="43"/>
      <c r="AG214" s="75">
        <v>44810</v>
      </c>
      <c r="AH214" s="75">
        <v>44810</v>
      </c>
      <c r="AI214" s="77">
        <v>44881</v>
      </c>
      <c r="AJ214" s="77">
        <v>44888</v>
      </c>
      <c r="AK214" s="77">
        <v>44888</v>
      </c>
      <c r="AL214" s="135" t="s">
        <v>31</v>
      </c>
      <c r="AM214" s="73">
        <v>5000</v>
      </c>
      <c r="AN214" s="96"/>
      <c r="AO214" s="96"/>
      <c r="AP214" s="73">
        <v>4953</v>
      </c>
      <c r="AQ214" s="44"/>
      <c r="AR214" s="114"/>
      <c r="AS214" s="98"/>
      <c r="AT214" s="98"/>
      <c r="AU214" s="98"/>
      <c r="AV214" s="98"/>
      <c r="AW214" s="98"/>
      <c r="AX214" s="98"/>
      <c r="AY214" s="98"/>
      <c r="AZ214" s="115"/>
    </row>
    <row r="215" spans="1:52" s="19" customFormat="1" ht="12.6" customHeight="1" x14ac:dyDescent="0.2">
      <c r="A215" s="72" t="s">
        <v>150</v>
      </c>
      <c r="B215" s="72" t="s">
        <v>188</v>
      </c>
      <c r="C215" s="40"/>
      <c r="D215" s="40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0"/>
      <c r="R215" s="40"/>
      <c r="S215" s="40"/>
      <c r="T215" s="73">
        <v>9000</v>
      </c>
      <c r="U215" s="41"/>
      <c r="V215" s="150" t="s">
        <v>79</v>
      </c>
      <c r="W215" s="42"/>
      <c r="X215" s="2">
        <v>53.9</v>
      </c>
      <c r="Y215" s="113"/>
      <c r="Z215" s="43"/>
      <c r="AA215" s="40"/>
      <c r="AB215" s="40"/>
      <c r="AC215" s="43"/>
      <c r="AD215" s="43"/>
      <c r="AE215" s="43"/>
      <c r="AF215" s="43"/>
      <c r="AG215" s="75">
        <v>44825</v>
      </c>
      <c r="AH215" s="75">
        <v>44825</v>
      </c>
      <c r="AI215" s="77">
        <v>44873</v>
      </c>
      <c r="AJ215" s="148">
        <v>44880</v>
      </c>
      <c r="AK215" s="148">
        <v>44880</v>
      </c>
      <c r="AL215" s="135" t="s">
        <v>31</v>
      </c>
      <c r="AM215" s="73">
        <v>9000</v>
      </c>
      <c r="AN215" s="96"/>
      <c r="AO215" s="96"/>
      <c r="AP215" s="73">
        <v>8982</v>
      </c>
      <c r="AQ215" s="44"/>
      <c r="AR215" s="114"/>
      <c r="AS215" s="98"/>
      <c r="AT215" s="98"/>
      <c r="AU215" s="98"/>
      <c r="AV215" s="98"/>
      <c r="AW215" s="98"/>
      <c r="AX215" s="98"/>
      <c r="AY215" s="98"/>
      <c r="AZ215" s="115"/>
    </row>
    <row r="216" spans="1:52" s="19" customFormat="1" ht="12.6" customHeight="1" x14ac:dyDescent="0.2">
      <c r="A216" s="72" t="s">
        <v>136</v>
      </c>
      <c r="B216" s="72" t="s">
        <v>189</v>
      </c>
      <c r="C216" s="40"/>
      <c r="D216" s="40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0"/>
      <c r="R216" s="40"/>
      <c r="S216" s="40"/>
      <c r="T216" s="73">
        <v>3000</v>
      </c>
      <c r="U216" s="41"/>
      <c r="V216" s="145" t="s">
        <v>85</v>
      </c>
      <c r="W216" s="42"/>
      <c r="X216" s="2">
        <v>53.9</v>
      </c>
      <c r="Y216" s="113"/>
      <c r="Z216" s="43"/>
      <c r="AA216" s="40"/>
      <c r="AB216" s="40"/>
      <c r="AC216" s="43"/>
      <c r="AD216" s="43"/>
      <c r="AE216" s="43"/>
      <c r="AF216" s="43"/>
      <c r="AG216" s="75">
        <v>44825</v>
      </c>
      <c r="AH216" s="75">
        <v>44825</v>
      </c>
      <c r="AI216" s="77">
        <v>44873</v>
      </c>
      <c r="AJ216" s="148">
        <v>44880</v>
      </c>
      <c r="AK216" s="148">
        <v>44880</v>
      </c>
      <c r="AL216" s="135" t="s">
        <v>31</v>
      </c>
      <c r="AM216" s="73">
        <v>3000</v>
      </c>
      <c r="AN216" s="96"/>
      <c r="AO216" s="96"/>
      <c r="AP216" s="73">
        <v>2988</v>
      </c>
      <c r="AQ216" s="44"/>
      <c r="AR216" s="114"/>
      <c r="AS216" s="98"/>
      <c r="AT216" s="98"/>
      <c r="AU216" s="98"/>
      <c r="AV216" s="98"/>
      <c r="AW216" s="98"/>
      <c r="AX216" s="98"/>
      <c r="AY216" s="98"/>
      <c r="AZ216" s="115"/>
    </row>
    <row r="217" spans="1:52" s="19" customFormat="1" ht="12.6" customHeight="1" x14ac:dyDescent="0.2">
      <c r="A217" s="72" t="s">
        <v>139</v>
      </c>
      <c r="B217" s="72" t="s">
        <v>198</v>
      </c>
      <c r="C217" s="40"/>
      <c r="D217" s="40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0"/>
      <c r="R217" s="40"/>
      <c r="S217" s="40"/>
      <c r="T217" s="73">
        <v>20000</v>
      </c>
      <c r="U217" s="41"/>
      <c r="V217" s="145" t="s">
        <v>85</v>
      </c>
      <c r="W217" s="42"/>
      <c r="X217" s="2">
        <v>53.9</v>
      </c>
      <c r="Y217" s="113"/>
      <c r="Z217" s="43"/>
      <c r="AA217" s="40"/>
      <c r="AB217" s="40"/>
      <c r="AC217" s="43"/>
      <c r="AD217" s="43"/>
      <c r="AE217" s="43"/>
      <c r="AF217" s="43"/>
      <c r="AG217" s="75">
        <v>44832</v>
      </c>
      <c r="AH217" s="75">
        <v>44832</v>
      </c>
      <c r="AI217" s="77">
        <v>44869</v>
      </c>
      <c r="AJ217" s="77">
        <v>44876</v>
      </c>
      <c r="AK217" s="77">
        <v>44876</v>
      </c>
      <c r="AL217" s="135" t="s">
        <v>31</v>
      </c>
      <c r="AM217" s="73">
        <v>20000</v>
      </c>
      <c r="AN217" s="96"/>
      <c r="AO217" s="96"/>
      <c r="AP217" s="73">
        <v>19054</v>
      </c>
      <c r="AQ217" s="44"/>
      <c r="AR217" s="114"/>
      <c r="AS217" s="98"/>
      <c r="AT217" s="98"/>
      <c r="AU217" s="98"/>
      <c r="AV217" s="98"/>
      <c r="AW217" s="98"/>
      <c r="AX217" s="98"/>
      <c r="AY217" s="98"/>
      <c r="AZ217" s="115"/>
    </row>
    <row r="218" spans="1:52" s="19" customFormat="1" ht="12.6" customHeight="1" x14ac:dyDescent="0.2">
      <c r="A218" s="72" t="s">
        <v>137</v>
      </c>
      <c r="B218" s="72" t="s">
        <v>112</v>
      </c>
      <c r="C218" s="40"/>
      <c r="D218" s="40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0"/>
      <c r="R218" s="40"/>
      <c r="S218" s="40"/>
      <c r="T218" s="73">
        <v>50000</v>
      </c>
      <c r="U218" s="41"/>
      <c r="V218" s="72" t="s">
        <v>87</v>
      </c>
      <c r="W218" s="42"/>
      <c r="X218" s="2">
        <v>53.9</v>
      </c>
      <c r="Y218" s="113"/>
      <c r="Z218" s="43"/>
      <c r="AA218" s="40"/>
      <c r="AB218" s="40"/>
      <c r="AC218" s="43"/>
      <c r="AD218" s="43"/>
      <c r="AE218" s="43"/>
      <c r="AF218" s="43"/>
      <c r="AG218" s="75">
        <v>44844</v>
      </c>
      <c r="AH218" s="75">
        <v>44844</v>
      </c>
      <c r="AI218" s="77">
        <v>44890</v>
      </c>
      <c r="AJ218" s="77">
        <v>44897</v>
      </c>
      <c r="AK218" s="77">
        <v>44897</v>
      </c>
      <c r="AL218" s="135" t="s">
        <v>31</v>
      </c>
      <c r="AM218" s="73">
        <v>50000</v>
      </c>
      <c r="AN218" s="96"/>
      <c r="AO218" s="96"/>
      <c r="AP218" s="73">
        <v>48872</v>
      </c>
      <c r="AQ218" s="44"/>
      <c r="AR218" s="114"/>
      <c r="AS218" s="98"/>
      <c r="AT218" s="98"/>
      <c r="AU218" s="98"/>
      <c r="AV218" s="98"/>
      <c r="AW218" s="98"/>
      <c r="AX218" s="98"/>
      <c r="AY218" s="98"/>
      <c r="AZ218" s="115"/>
    </row>
    <row r="219" spans="1:52" s="19" customFormat="1" ht="12.6" customHeight="1" x14ac:dyDescent="0.2">
      <c r="A219" s="72" t="s">
        <v>208</v>
      </c>
      <c r="B219" s="72" t="s">
        <v>124</v>
      </c>
      <c r="C219" s="40"/>
      <c r="D219" s="40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0"/>
      <c r="R219" s="40"/>
      <c r="S219" s="40"/>
      <c r="T219" s="73">
        <v>15000</v>
      </c>
      <c r="U219" s="41"/>
      <c r="V219" s="150" t="s">
        <v>93</v>
      </c>
      <c r="W219" s="42"/>
      <c r="X219" s="2">
        <v>53.9</v>
      </c>
      <c r="Y219" s="113"/>
      <c r="Z219" s="43"/>
      <c r="AA219" s="40"/>
      <c r="AB219" s="40"/>
      <c r="AC219" s="43"/>
      <c r="AD219" s="43"/>
      <c r="AE219" s="43"/>
      <c r="AF219" s="43"/>
      <c r="AG219" s="75">
        <v>44832</v>
      </c>
      <c r="AH219" s="75">
        <v>44832</v>
      </c>
      <c r="AI219" s="77">
        <v>44881</v>
      </c>
      <c r="AJ219" s="77">
        <v>44888</v>
      </c>
      <c r="AK219" s="77">
        <v>44888</v>
      </c>
      <c r="AL219" s="135" t="s">
        <v>31</v>
      </c>
      <c r="AM219" s="73">
        <v>15000</v>
      </c>
      <c r="AN219" s="96"/>
      <c r="AO219" s="96"/>
      <c r="AP219" s="73">
        <v>14990</v>
      </c>
      <c r="AQ219" s="44"/>
      <c r="AR219" s="114"/>
      <c r="AS219" s="98"/>
      <c r="AT219" s="98"/>
      <c r="AU219" s="98"/>
      <c r="AV219" s="98"/>
      <c r="AW219" s="98"/>
      <c r="AX219" s="98"/>
      <c r="AY219" s="98"/>
      <c r="AZ219" s="115"/>
    </row>
    <row r="220" spans="1:52" s="19" customFormat="1" ht="12.6" customHeight="1" x14ac:dyDescent="0.2">
      <c r="A220" s="72" t="s">
        <v>141</v>
      </c>
      <c r="B220" s="72" t="s">
        <v>130</v>
      </c>
      <c r="C220" s="40"/>
      <c r="D220" s="40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0"/>
      <c r="R220" s="40"/>
      <c r="S220" s="40"/>
      <c r="T220" s="73">
        <v>5000</v>
      </c>
      <c r="U220" s="41"/>
      <c r="V220" s="149" t="s">
        <v>79</v>
      </c>
      <c r="W220" s="42"/>
      <c r="X220" s="2">
        <v>53.9</v>
      </c>
      <c r="Y220" s="113"/>
      <c r="Z220" s="43"/>
      <c r="AA220" s="40"/>
      <c r="AB220" s="40"/>
      <c r="AC220" s="43"/>
      <c r="AD220" s="43"/>
      <c r="AE220" s="43"/>
      <c r="AF220" s="43"/>
      <c r="AG220" s="75">
        <v>44832</v>
      </c>
      <c r="AH220" s="75">
        <v>44832</v>
      </c>
      <c r="AI220" s="77">
        <v>44881</v>
      </c>
      <c r="AJ220" s="77">
        <v>44888</v>
      </c>
      <c r="AK220" s="77">
        <v>44888</v>
      </c>
      <c r="AL220" s="135" t="s">
        <v>31</v>
      </c>
      <c r="AM220" s="73">
        <v>5000</v>
      </c>
      <c r="AN220" s="96"/>
      <c r="AO220" s="96"/>
      <c r="AP220" s="73">
        <v>4950</v>
      </c>
      <c r="AQ220" s="44"/>
      <c r="AR220" s="114"/>
      <c r="AS220" s="98"/>
      <c r="AT220" s="98"/>
      <c r="AU220" s="98"/>
      <c r="AV220" s="98"/>
      <c r="AW220" s="98"/>
      <c r="AX220" s="98"/>
      <c r="AY220" s="98"/>
      <c r="AZ220" s="115"/>
    </row>
    <row r="221" spans="1:52" s="19" customFormat="1" ht="12.6" customHeight="1" x14ac:dyDescent="0.2">
      <c r="A221" s="72" t="s">
        <v>150</v>
      </c>
      <c r="B221" s="72" t="s">
        <v>188</v>
      </c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0"/>
      <c r="R221" s="40"/>
      <c r="S221" s="40"/>
      <c r="T221" s="73">
        <v>15600</v>
      </c>
      <c r="U221" s="41"/>
      <c r="V221" s="149" t="s">
        <v>79</v>
      </c>
      <c r="W221" s="42"/>
      <c r="X221" s="2">
        <v>53.9</v>
      </c>
      <c r="Y221" s="113"/>
      <c r="Z221" s="43"/>
      <c r="AA221" s="40"/>
      <c r="AB221" s="40"/>
      <c r="AC221" s="43"/>
      <c r="AD221" s="43"/>
      <c r="AE221" s="43"/>
      <c r="AF221" s="43"/>
      <c r="AG221" s="75">
        <v>44832</v>
      </c>
      <c r="AH221" s="75">
        <v>44832</v>
      </c>
      <c r="AI221" s="77">
        <v>44881</v>
      </c>
      <c r="AJ221" s="77">
        <v>44888</v>
      </c>
      <c r="AK221" s="77">
        <v>44888</v>
      </c>
      <c r="AL221" s="135" t="s">
        <v>31</v>
      </c>
      <c r="AM221" s="73">
        <v>15600</v>
      </c>
      <c r="AN221" s="96"/>
      <c r="AO221" s="96"/>
      <c r="AP221" s="73">
        <v>15548</v>
      </c>
      <c r="AQ221" s="44"/>
      <c r="AR221" s="114"/>
      <c r="AS221" s="98"/>
      <c r="AT221" s="98"/>
      <c r="AU221" s="98"/>
      <c r="AV221" s="98"/>
      <c r="AW221" s="98"/>
      <c r="AX221" s="98"/>
      <c r="AY221" s="98"/>
      <c r="AZ221" s="115"/>
    </row>
    <row r="222" spans="1:52" s="19" customFormat="1" ht="12.6" customHeight="1" x14ac:dyDescent="0.2">
      <c r="A222" s="72" t="s">
        <v>136</v>
      </c>
      <c r="B222" s="72" t="s">
        <v>189</v>
      </c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0"/>
      <c r="R222" s="40"/>
      <c r="S222" s="40"/>
      <c r="T222" s="73">
        <v>39000</v>
      </c>
      <c r="U222" s="41"/>
      <c r="V222" s="149" t="s">
        <v>79</v>
      </c>
      <c r="W222" s="42"/>
      <c r="X222" s="2">
        <v>53.9</v>
      </c>
      <c r="Y222" s="113"/>
      <c r="Z222" s="43"/>
      <c r="AA222" s="40"/>
      <c r="AB222" s="40"/>
      <c r="AC222" s="43"/>
      <c r="AD222" s="43"/>
      <c r="AE222" s="43"/>
      <c r="AF222" s="43"/>
      <c r="AG222" s="75">
        <v>44832</v>
      </c>
      <c r="AH222" s="75">
        <v>44832</v>
      </c>
      <c r="AI222" s="77">
        <v>44881</v>
      </c>
      <c r="AJ222" s="77">
        <v>44888</v>
      </c>
      <c r="AK222" s="77">
        <v>44888</v>
      </c>
      <c r="AL222" s="135" t="s">
        <v>31</v>
      </c>
      <c r="AM222" s="73">
        <v>39000</v>
      </c>
      <c r="AN222" s="96"/>
      <c r="AO222" s="96"/>
      <c r="AP222" s="73">
        <v>38951</v>
      </c>
      <c r="AQ222" s="44"/>
      <c r="AR222" s="114"/>
      <c r="AS222" s="98"/>
      <c r="AT222" s="98"/>
      <c r="AU222" s="98"/>
      <c r="AV222" s="98"/>
      <c r="AW222" s="98"/>
      <c r="AX222" s="98"/>
      <c r="AY222" s="98"/>
      <c r="AZ222" s="115"/>
    </row>
    <row r="223" spans="1:52" s="19" customFormat="1" ht="12.6" customHeight="1" x14ac:dyDescent="0.2">
      <c r="A223" s="72" t="s">
        <v>142</v>
      </c>
      <c r="B223" s="72" t="s">
        <v>187</v>
      </c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0"/>
      <c r="R223" s="40"/>
      <c r="S223" s="40"/>
      <c r="T223" s="73">
        <v>9000</v>
      </c>
      <c r="U223" s="41"/>
      <c r="V223" s="149" t="s">
        <v>79</v>
      </c>
      <c r="W223" s="42"/>
      <c r="X223" s="2">
        <v>53.9</v>
      </c>
      <c r="Y223" s="113"/>
      <c r="Z223" s="43"/>
      <c r="AA223" s="40"/>
      <c r="AB223" s="40"/>
      <c r="AC223" s="43"/>
      <c r="AD223" s="43"/>
      <c r="AE223" s="43"/>
      <c r="AF223" s="43"/>
      <c r="AG223" s="75">
        <v>44806</v>
      </c>
      <c r="AH223" s="75">
        <v>44806</v>
      </c>
      <c r="AI223" s="77">
        <v>44852</v>
      </c>
      <c r="AJ223" s="152">
        <v>44859</v>
      </c>
      <c r="AK223" s="152">
        <v>44859</v>
      </c>
      <c r="AL223" s="135" t="s">
        <v>31</v>
      </c>
      <c r="AM223" s="73">
        <v>9000</v>
      </c>
      <c r="AN223" s="96"/>
      <c r="AO223" s="96"/>
      <c r="AP223" s="73">
        <v>8900</v>
      </c>
      <c r="AQ223" s="44"/>
      <c r="AR223" s="114"/>
      <c r="AS223" s="98"/>
      <c r="AT223" s="98"/>
      <c r="AU223" s="98"/>
      <c r="AV223" s="98"/>
      <c r="AW223" s="98"/>
      <c r="AX223" s="98"/>
      <c r="AY223" s="98"/>
      <c r="AZ223" s="115"/>
    </row>
    <row r="224" spans="1:52" s="19" customFormat="1" ht="12.6" customHeight="1" x14ac:dyDescent="0.2">
      <c r="A224" s="72" t="s">
        <v>137</v>
      </c>
      <c r="B224" s="72" t="s">
        <v>112</v>
      </c>
      <c r="C224" s="40"/>
      <c r="D224" s="40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0"/>
      <c r="R224" s="40"/>
      <c r="S224" s="40"/>
      <c r="T224" s="73">
        <v>15000</v>
      </c>
      <c r="U224" s="41"/>
      <c r="V224" s="149" t="s">
        <v>87</v>
      </c>
      <c r="W224" s="42"/>
      <c r="X224" s="2">
        <v>53.9</v>
      </c>
      <c r="Y224" s="113"/>
      <c r="Z224" s="43"/>
      <c r="AA224" s="40"/>
      <c r="AB224" s="40"/>
      <c r="AC224" s="43"/>
      <c r="AD224" s="43"/>
      <c r="AE224" s="43"/>
      <c r="AF224" s="43"/>
      <c r="AG224" s="75">
        <v>44806</v>
      </c>
      <c r="AH224" s="75">
        <v>44806</v>
      </c>
      <c r="AI224" s="77">
        <v>44852</v>
      </c>
      <c r="AJ224" s="152">
        <v>44859</v>
      </c>
      <c r="AK224" s="152">
        <v>44859</v>
      </c>
      <c r="AL224" s="135" t="s">
        <v>31</v>
      </c>
      <c r="AM224" s="73">
        <v>15000</v>
      </c>
      <c r="AN224" s="96"/>
      <c r="AO224" s="96"/>
      <c r="AP224" s="73">
        <v>14410</v>
      </c>
      <c r="AQ224" s="44"/>
      <c r="AR224" s="114"/>
      <c r="AS224" s="98"/>
      <c r="AT224" s="98"/>
      <c r="AU224" s="98"/>
      <c r="AV224" s="98"/>
      <c r="AW224" s="98"/>
      <c r="AX224" s="98"/>
      <c r="AY224" s="98"/>
      <c r="AZ224" s="115"/>
    </row>
    <row r="225" spans="1:52" s="19" customFormat="1" ht="12.6" customHeight="1" x14ac:dyDescent="0.2">
      <c r="A225" s="72" t="s">
        <v>143</v>
      </c>
      <c r="B225" s="72" t="s">
        <v>117</v>
      </c>
      <c r="C225" s="40"/>
      <c r="D225" s="40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0"/>
      <c r="R225" s="40"/>
      <c r="S225" s="40"/>
      <c r="T225" s="73">
        <v>123500</v>
      </c>
      <c r="U225" s="41"/>
      <c r="V225" s="149" t="s">
        <v>87</v>
      </c>
      <c r="W225" s="42"/>
      <c r="X225" s="2">
        <v>53.9</v>
      </c>
      <c r="Y225" s="113"/>
      <c r="Z225" s="43"/>
      <c r="AA225" s="40"/>
      <c r="AB225" s="40"/>
      <c r="AC225" s="43"/>
      <c r="AD225" s="43"/>
      <c r="AE225" s="43"/>
      <c r="AF225" s="43"/>
      <c r="AG225" s="75">
        <v>44806</v>
      </c>
      <c r="AH225" s="75">
        <v>44806</v>
      </c>
      <c r="AI225" s="77">
        <v>44852</v>
      </c>
      <c r="AJ225" s="152">
        <v>44859</v>
      </c>
      <c r="AK225" s="152">
        <v>44859</v>
      </c>
      <c r="AL225" s="135" t="s">
        <v>31</v>
      </c>
      <c r="AM225" s="73">
        <v>123500</v>
      </c>
      <c r="AN225" s="96"/>
      <c r="AO225" s="96"/>
      <c r="AP225" s="73">
        <v>122806</v>
      </c>
      <c r="AQ225" s="44"/>
      <c r="AR225" s="114"/>
      <c r="AS225" s="98"/>
      <c r="AT225" s="98"/>
      <c r="AU225" s="98"/>
      <c r="AV225" s="98"/>
      <c r="AW225" s="98"/>
      <c r="AX225" s="98"/>
      <c r="AY225" s="98"/>
      <c r="AZ225" s="115"/>
    </row>
    <row r="226" spans="1:52" s="19" customFormat="1" ht="12.6" customHeight="1" x14ac:dyDescent="0.2">
      <c r="A226" s="72" t="s">
        <v>145</v>
      </c>
      <c r="B226" s="72" t="s">
        <v>201</v>
      </c>
      <c r="C226" s="40"/>
      <c r="D226" s="40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0"/>
      <c r="R226" s="40"/>
      <c r="S226" s="40"/>
      <c r="T226" s="73">
        <v>212000</v>
      </c>
      <c r="U226" s="41"/>
      <c r="V226" s="149" t="s">
        <v>87</v>
      </c>
      <c r="W226" s="42"/>
      <c r="X226" s="2">
        <v>53.9</v>
      </c>
      <c r="Y226" s="113"/>
      <c r="Z226" s="43"/>
      <c r="AA226" s="40"/>
      <c r="AB226" s="40"/>
      <c r="AC226" s="43"/>
      <c r="AD226" s="43"/>
      <c r="AE226" s="43"/>
      <c r="AF226" s="43"/>
      <c r="AG226" s="75">
        <v>44825</v>
      </c>
      <c r="AH226" s="75">
        <v>44825</v>
      </c>
      <c r="AI226" s="77">
        <v>44851</v>
      </c>
      <c r="AJ226" s="77">
        <v>44858</v>
      </c>
      <c r="AK226" s="77">
        <v>44858</v>
      </c>
      <c r="AL226" s="135" t="s">
        <v>31</v>
      </c>
      <c r="AM226" s="73">
        <v>212000</v>
      </c>
      <c r="AN226" s="96"/>
      <c r="AO226" s="96"/>
      <c r="AP226" s="73">
        <v>210735</v>
      </c>
      <c r="AQ226" s="44"/>
      <c r="AR226" s="114"/>
      <c r="AS226" s="98"/>
      <c r="AT226" s="98"/>
      <c r="AU226" s="98"/>
      <c r="AV226" s="98"/>
      <c r="AW226" s="98"/>
      <c r="AX226" s="98"/>
      <c r="AY226" s="98"/>
      <c r="AZ226" s="115"/>
    </row>
    <row r="227" spans="1:52" s="19" customFormat="1" ht="12.6" customHeight="1" x14ac:dyDescent="0.2">
      <c r="A227" s="72" t="s">
        <v>138</v>
      </c>
      <c r="B227" s="72" t="s">
        <v>197</v>
      </c>
      <c r="C227" s="40"/>
      <c r="D227" s="40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0"/>
      <c r="R227" s="40"/>
      <c r="S227" s="40"/>
      <c r="T227" s="73">
        <v>70000</v>
      </c>
      <c r="U227" s="41"/>
      <c r="V227" s="72" t="s">
        <v>97</v>
      </c>
      <c r="W227" s="42"/>
      <c r="X227" s="2">
        <v>53.9</v>
      </c>
      <c r="Y227" s="113"/>
      <c r="Z227" s="43"/>
      <c r="AA227" s="40"/>
      <c r="AB227" s="40"/>
      <c r="AC227" s="43"/>
      <c r="AD227" s="43"/>
      <c r="AE227" s="43"/>
      <c r="AF227" s="43"/>
      <c r="AG227" s="75">
        <v>44832</v>
      </c>
      <c r="AH227" s="75">
        <v>44832</v>
      </c>
      <c r="AI227" s="77">
        <v>44897</v>
      </c>
      <c r="AJ227" s="77">
        <v>44904</v>
      </c>
      <c r="AK227" s="77">
        <v>44904</v>
      </c>
      <c r="AL227" s="135" t="s">
        <v>31</v>
      </c>
      <c r="AM227" s="73">
        <v>70000</v>
      </c>
      <c r="AN227" s="96"/>
      <c r="AO227" s="96"/>
      <c r="AP227" s="73">
        <v>68880</v>
      </c>
      <c r="AQ227" s="44"/>
      <c r="AR227" s="114"/>
      <c r="AS227" s="98"/>
      <c r="AT227" s="98"/>
      <c r="AU227" s="98"/>
      <c r="AV227" s="98"/>
      <c r="AW227" s="98"/>
      <c r="AX227" s="98"/>
      <c r="AY227" s="98"/>
      <c r="AZ227" s="115"/>
    </row>
    <row r="228" spans="1:52" s="19" customFormat="1" ht="12.6" customHeight="1" x14ac:dyDescent="0.2">
      <c r="A228" s="72" t="s">
        <v>143</v>
      </c>
      <c r="B228" s="72" t="s">
        <v>185</v>
      </c>
      <c r="C228" s="40"/>
      <c r="D228" s="40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0"/>
      <c r="R228" s="40"/>
      <c r="S228" s="40"/>
      <c r="T228" s="73">
        <v>21000</v>
      </c>
      <c r="U228" s="41"/>
      <c r="V228" s="149" t="s">
        <v>102</v>
      </c>
      <c r="W228" s="42"/>
      <c r="X228" s="2">
        <v>53.9</v>
      </c>
      <c r="Y228" s="113"/>
      <c r="Z228" s="43"/>
      <c r="AA228" s="40"/>
      <c r="AB228" s="40"/>
      <c r="AC228" s="43"/>
      <c r="AD228" s="43"/>
      <c r="AE228" s="43"/>
      <c r="AF228" s="43"/>
      <c r="AG228" s="75">
        <v>44832</v>
      </c>
      <c r="AH228" s="75">
        <v>44832</v>
      </c>
      <c r="AI228" s="77">
        <v>44897</v>
      </c>
      <c r="AJ228" s="77">
        <v>44904</v>
      </c>
      <c r="AK228" s="77">
        <v>44904</v>
      </c>
      <c r="AL228" s="135" t="s">
        <v>31</v>
      </c>
      <c r="AM228" s="73">
        <v>21000</v>
      </c>
      <c r="AN228" s="96"/>
      <c r="AO228" s="96"/>
      <c r="AP228" s="73">
        <v>20620</v>
      </c>
      <c r="AQ228" s="44"/>
      <c r="AR228" s="114"/>
      <c r="AS228" s="98"/>
      <c r="AT228" s="98"/>
      <c r="AU228" s="98"/>
      <c r="AV228" s="98"/>
      <c r="AW228" s="98"/>
      <c r="AX228" s="98"/>
      <c r="AY228" s="98"/>
      <c r="AZ228" s="115"/>
    </row>
    <row r="229" spans="1:52" s="19" customFormat="1" ht="12.6" customHeight="1" x14ac:dyDescent="0.2">
      <c r="A229" s="72" t="s">
        <v>145</v>
      </c>
      <c r="B229" s="72" t="s">
        <v>118</v>
      </c>
      <c r="C229" s="40"/>
      <c r="D229" s="40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0"/>
      <c r="R229" s="40"/>
      <c r="S229" s="40"/>
      <c r="T229" s="73">
        <v>360000</v>
      </c>
      <c r="U229" s="41"/>
      <c r="V229" s="149" t="s">
        <v>102</v>
      </c>
      <c r="W229" s="42"/>
      <c r="X229" s="2">
        <v>53.9</v>
      </c>
      <c r="Y229" s="113"/>
      <c r="Z229" s="43"/>
      <c r="AA229" s="40"/>
      <c r="AB229" s="40"/>
      <c r="AC229" s="43"/>
      <c r="AD229" s="43"/>
      <c r="AE229" s="43"/>
      <c r="AF229" s="43"/>
      <c r="AG229" s="75">
        <v>44679</v>
      </c>
      <c r="AH229" s="75">
        <v>44679</v>
      </c>
      <c r="AI229" s="77">
        <v>44874</v>
      </c>
      <c r="AJ229" s="152">
        <v>44881</v>
      </c>
      <c r="AK229" s="152">
        <v>44881</v>
      </c>
      <c r="AL229" s="135" t="s">
        <v>31</v>
      </c>
      <c r="AM229" s="73">
        <v>360000</v>
      </c>
      <c r="AN229" s="96"/>
      <c r="AO229" s="96"/>
      <c r="AP229" s="73">
        <v>356700</v>
      </c>
      <c r="AQ229" s="44"/>
      <c r="AR229" s="114"/>
      <c r="AS229" s="98"/>
      <c r="AT229" s="98"/>
      <c r="AU229" s="98"/>
      <c r="AV229" s="98"/>
      <c r="AW229" s="98"/>
      <c r="AX229" s="98"/>
      <c r="AY229" s="98"/>
      <c r="AZ229" s="115"/>
    </row>
    <row r="230" spans="1:52" s="19" customFormat="1" ht="12.6" customHeight="1" x14ac:dyDescent="0.2">
      <c r="A230" s="72" t="s">
        <v>143</v>
      </c>
      <c r="B230" s="72" t="s">
        <v>128</v>
      </c>
      <c r="C230" s="40"/>
      <c r="D230" s="40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0"/>
      <c r="R230" s="40"/>
      <c r="S230" s="40"/>
      <c r="T230" s="73">
        <v>288500</v>
      </c>
      <c r="U230" s="41"/>
      <c r="V230" s="145" t="s">
        <v>86</v>
      </c>
      <c r="W230" s="42"/>
      <c r="X230" s="2">
        <v>53.9</v>
      </c>
      <c r="Y230" s="113"/>
      <c r="Z230" s="43"/>
      <c r="AA230" s="40"/>
      <c r="AB230" s="40"/>
      <c r="AC230" s="43"/>
      <c r="AD230" s="43"/>
      <c r="AE230" s="43"/>
      <c r="AF230" s="43"/>
      <c r="AG230" s="76">
        <v>44687</v>
      </c>
      <c r="AH230" s="76">
        <v>44687</v>
      </c>
      <c r="AI230" s="77">
        <v>44721</v>
      </c>
      <c r="AJ230" s="79">
        <v>44728</v>
      </c>
      <c r="AK230" s="79">
        <v>44728</v>
      </c>
      <c r="AL230" s="135" t="s">
        <v>31</v>
      </c>
      <c r="AM230" s="73">
        <v>288500</v>
      </c>
      <c r="AN230" s="96"/>
      <c r="AO230" s="96"/>
      <c r="AP230" s="73">
        <v>284250</v>
      </c>
      <c r="AQ230" s="44"/>
      <c r="AR230" s="114"/>
      <c r="AS230" s="98"/>
      <c r="AT230" s="98"/>
      <c r="AU230" s="98"/>
      <c r="AV230" s="98"/>
      <c r="AW230" s="98"/>
      <c r="AX230" s="98"/>
      <c r="AY230" s="98"/>
      <c r="AZ230" s="115"/>
    </row>
    <row r="231" spans="1:52" s="19" customFormat="1" ht="12.6" customHeight="1" x14ac:dyDescent="0.2">
      <c r="A231" s="72" t="s">
        <v>147</v>
      </c>
      <c r="B231" s="72" t="s">
        <v>119</v>
      </c>
      <c r="C231" s="40"/>
      <c r="D231" s="40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0"/>
      <c r="R231" s="40"/>
      <c r="S231" s="40"/>
      <c r="T231" s="73">
        <v>18000</v>
      </c>
      <c r="U231" s="41"/>
      <c r="V231" s="145" t="s">
        <v>86</v>
      </c>
      <c r="W231" s="42"/>
      <c r="X231" s="2">
        <v>53.9</v>
      </c>
      <c r="Y231" s="113"/>
      <c r="Z231" s="43"/>
      <c r="AA231" s="40"/>
      <c r="AB231" s="40"/>
      <c r="AC231" s="43"/>
      <c r="AD231" s="43"/>
      <c r="AE231" s="43"/>
      <c r="AF231" s="43"/>
      <c r="AG231" s="142">
        <v>44623</v>
      </c>
      <c r="AH231" s="142">
        <v>44623</v>
      </c>
      <c r="AI231" s="77">
        <v>44907</v>
      </c>
      <c r="AJ231" s="79">
        <v>44914</v>
      </c>
      <c r="AK231" s="79">
        <v>44914</v>
      </c>
      <c r="AL231" s="135" t="s">
        <v>31</v>
      </c>
      <c r="AM231" s="73">
        <v>18000</v>
      </c>
      <c r="AN231" s="96"/>
      <c r="AO231" s="96"/>
      <c r="AP231" s="73">
        <v>17700</v>
      </c>
      <c r="AQ231" s="44"/>
      <c r="AR231" s="114"/>
      <c r="AS231" s="98"/>
      <c r="AT231" s="98"/>
      <c r="AU231" s="98"/>
      <c r="AV231" s="98"/>
      <c r="AW231" s="98"/>
      <c r="AX231" s="98"/>
      <c r="AY231" s="98"/>
      <c r="AZ231" s="115"/>
    </row>
    <row r="232" spans="1:52" s="19" customFormat="1" ht="12.6" customHeight="1" x14ac:dyDescent="0.2">
      <c r="A232" s="72" t="s">
        <v>136</v>
      </c>
      <c r="B232" s="72" t="s">
        <v>189</v>
      </c>
      <c r="C232" s="40"/>
      <c r="D232" s="40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0"/>
      <c r="R232" s="40"/>
      <c r="S232" s="40"/>
      <c r="T232" s="73">
        <v>6000</v>
      </c>
      <c r="U232" s="41"/>
      <c r="V232" s="145" t="s">
        <v>89</v>
      </c>
      <c r="W232" s="42"/>
      <c r="X232" s="2">
        <v>53.9</v>
      </c>
      <c r="Y232" s="113"/>
      <c r="Z232" s="43"/>
      <c r="AA232" s="40"/>
      <c r="AB232" s="40"/>
      <c r="AC232" s="43"/>
      <c r="AD232" s="43"/>
      <c r="AE232" s="43"/>
      <c r="AF232" s="43"/>
      <c r="AG232" s="75">
        <v>44825</v>
      </c>
      <c r="AH232" s="75">
        <v>44825</v>
      </c>
      <c r="AI232" s="77">
        <v>44851</v>
      </c>
      <c r="AJ232" s="148">
        <v>44858</v>
      </c>
      <c r="AK232" s="148">
        <v>44858</v>
      </c>
      <c r="AL232" s="135" t="s">
        <v>31</v>
      </c>
      <c r="AM232" s="73">
        <v>6000</v>
      </c>
      <c r="AN232" s="96"/>
      <c r="AO232" s="96"/>
      <c r="AP232" s="73">
        <v>5976</v>
      </c>
      <c r="AQ232" s="44"/>
      <c r="AR232" s="114"/>
      <c r="AS232" s="98"/>
      <c r="AT232" s="98"/>
      <c r="AU232" s="98"/>
      <c r="AV232" s="98"/>
      <c r="AW232" s="98"/>
      <c r="AX232" s="98"/>
      <c r="AY232" s="98"/>
      <c r="AZ232" s="115"/>
    </row>
    <row r="233" spans="1:52" s="19" customFormat="1" ht="12.6" customHeight="1" x14ac:dyDescent="0.2">
      <c r="A233" s="72" t="s">
        <v>147</v>
      </c>
      <c r="B233" s="72" t="s">
        <v>119</v>
      </c>
      <c r="C233" s="40"/>
      <c r="D233" s="40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0"/>
      <c r="R233" s="40"/>
      <c r="S233" s="40"/>
      <c r="T233" s="73">
        <v>10000</v>
      </c>
      <c r="U233" s="41"/>
      <c r="V233" s="72" t="s">
        <v>97</v>
      </c>
      <c r="W233" s="42"/>
      <c r="X233" s="2">
        <v>53.9</v>
      </c>
      <c r="Y233" s="113"/>
      <c r="Z233" s="43"/>
      <c r="AA233" s="40"/>
      <c r="AB233" s="40"/>
      <c r="AC233" s="43"/>
      <c r="AD233" s="43"/>
      <c r="AE233" s="43"/>
      <c r="AF233" s="43"/>
      <c r="AG233" s="75">
        <v>44684</v>
      </c>
      <c r="AH233" s="75">
        <v>44684</v>
      </c>
      <c r="AI233" s="77">
        <v>44701</v>
      </c>
      <c r="AJ233" s="79">
        <v>44708</v>
      </c>
      <c r="AK233" s="79">
        <v>44708</v>
      </c>
      <c r="AL233" s="135" t="s">
        <v>31</v>
      </c>
      <c r="AM233" s="73">
        <v>10000</v>
      </c>
      <c r="AN233" s="96"/>
      <c r="AO233" s="96"/>
      <c r="AP233" s="73">
        <v>9978</v>
      </c>
      <c r="AQ233" s="44"/>
      <c r="AR233" s="114"/>
      <c r="AS233" s="98"/>
      <c r="AT233" s="98"/>
      <c r="AU233" s="98"/>
      <c r="AV233" s="98"/>
      <c r="AW233" s="98"/>
      <c r="AX233" s="98"/>
      <c r="AY233" s="98"/>
      <c r="AZ233" s="115"/>
    </row>
    <row r="234" spans="1:52" s="19" customFormat="1" ht="12.6" customHeight="1" x14ac:dyDescent="0.2">
      <c r="A234" s="72" t="s">
        <v>147</v>
      </c>
      <c r="B234" s="72" t="s">
        <v>119</v>
      </c>
      <c r="C234" s="40"/>
      <c r="D234" s="40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0"/>
      <c r="R234" s="40"/>
      <c r="S234" s="40"/>
      <c r="T234" s="73">
        <v>10000</v>
      </c>
      <c r="U234" s="41"/>
      <c r="V234" s="72" t="s">
        <v>98</v>
      </c>
      <c r="W234" s="42"/>
      <c r="X234" s="2">
        <v>53.9</v>
      </c>
      <c r="Y234" s="113"/>
      <c r="Z234" s="43"/>
      <c r="AA234" s="40"/>
      <c r="AB234" s="40"/>
      <c r="AC234" s="43"/>
      <c r="AD234" s="43"/>
      <c r="AE234" s="43"/>
      <c r="AF234" s="43"/>
      <c r="AG234" s="142">
        <v>44634</v>
      </c>
      <c r="AH234" s="142">
        <v>44634</v>
      </c>
      <c r="AI234" s="77">
        <v>44687</v>
      </c>
      <c r="AJ234" s="79">
        <v>44693</v>
      </c>
      <c r="AK234" s="79">
        <v>44693</v>
      </c>
      <c r="AL234" s="135" t="s">
        <v>31</v>
      </c>
      <c r="AM234" s="73">
        <v>10000</v>
      </c>
      <c r="AN234" s="96"/>
      <c r="AO234" s="96"/>
      <c r="AP234" s="73">
        <v>9978</v>
      </c>
      <c r="AQ234" s="44"/>
      <c r="AR234" s="114"/>
      <c r="AS234" s="98"/>
      <c r="AT234" s="98"/>
      <c r="AU234" s="98"/>
      <c r="AV234" s="98"/>
      <c r="AW234" s="98"/>
      <c r="AX234" s="98"/>
      <c r="AY234" s="98"/>
      <c r="AZ234" s="115"/>
    </row>
    <row r="235" spans="1:52" s="19" customFormat="1" ht="12.6" customHeight="1" x14ac:dyDescent="0.2">
      <c r="A235" s="72" t="s">
        <v>139</v>
      </c>
      <c r="B235" s="72" t="s">
        <v>198</v>
      </c>
      <c r="C235" s="40"/>
      <c r="D235" s="40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0"/>
      <c r="R235" s="40"/>
      <c r="S235" s="40"/>
      <c r="T235" s="73">
        <v>102500</v>
      </c>
      <c r="U235" s="41"/>
      <c r="V235" s="72" t="s">
        <v>98</v>
      </c>
      <c r="W235" s="42"/>
      <c r="X235" s="2">
        <v>53.9</v>
      </c>
      <c r="Y235" s="113"/>
      <c r="Z235" s="43"/>
      <c r="AA235" s="40"/>
      <c r="AB235" s="40"/>
      <c r="AC235" s="43"/>
      <c r="AD235" s="43"/>
      <c r="AE235" s="43"/>
      <c r="AF235" s="43"/>
      <c r="AG235" s="75">
        <v>44858</v>
      </c>
      <c r="AH235" s="75">
        <v>44858</v>
      </c>
      <c r="AI235" s="77">
        <v>44903</v>
      </c>
      <c r="AJ235" s="77">
        <v>44908</v>
      </c>
      <c r="AK235" s="77">
        <v>44908</v>
      </c>
      <c r="AL235" s="135" t="s">
        <v>31</v>
      </c>
      <c r="AM235" s="73">
        <v>102500</v>
      </c>
      <c r="AN235" s="96"/>
      <c r="AO235" s="96"/>
      <c r="AP235" s="73">
        <v>101595</v>
      </c>
      <c r="AQ235" s="44"/>
      <c r="AR235" s="114"/>
      <c r="AS235" s="98"/>
      <c r="AT235" s="98"/>
      <c r="AU235" s="98"/>
      <c r="AV235" s="98"/>
      <c r="AW235" s="98"/>
      <c r="AX235" s="98"/>
      <c r="AY235" s="98"/>
      <c r="AZ235" s="115"/>
    </row>
    <row r="236" spans="1:52" s="19" customFormat="1" ht="12.6" customHeight="1" x14ac:dyDescent="0.2">
      <c r="A236" s="72" t="s">
        <v>142</v>
      </c>
      <c r="B236" s="72" t="s">
        <v>187</v>
      </c>
      <c r="C236" s="40"/>
      <c r="D236" s="40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0"/>
      <c r="R236" s="40"/>
      <c r="S236" s="40"/>
      <c r="T236" s="73">
        <v>10500</v>
      </c>
      <c r="U236" s="41"/>
      <c r="V236" s="72" t="s">
        <v>93</v>
      </c>
      <c r="W236" s="42"/>
      <c r="X236" s="2">
        <v>53.9</v>
      </c>
      <c r="Y236" s="113"/>
      <c r="Z236" s="43"/>
      <c r="AA236" s="40"/>
      <c r="AB236" s="40"/>
      <c r="AC236" s="43"/>
      <c r="AD236" s="43"/>
      <c r="AE236" s="43"/>
      <c r="AF236" s="43"/>
      <c r="AG236" s="75">
        <v>44812</v>
      </c>
      <c r="AH236" s="75">
        <v>44812</v>
      </c>
      <c r="AI236" s="77">
        <v>44881</v>
      </c>
      <c r="AJ236" s="77">
        <v>44888</v>
      </c>
      <c r="AK236" s="77">
        <v>44888</v>
      </c>
      <c r="AL236" s="135" t="s">
        <v>31</v>
      </c>
      <c r="AM236" s="73">
        <v>10500</v>
      </c>
      <c r="AN236" s="96"/>
      <c r="AO236" s="96"/>
      <c r="AP236" s="73">
        <v>10290</v>
      </c>
      <c r="AQ236" s="44"/>
      <c r="AR236" s="114"/>
      <c r="AS236" s="98"/>
      <c r="AT236" s="98"/>
      <c r="AU236" s="98"/>
      <c r="AV236" s="98"/>
      <c r="AW236" s="98"/>
      <c r="AX236" s="98"/>
      <c r="AY236" s="98"/>
      <c r="AZ236" s="115"/>
    </row>
    <row r="237" spans="1:52" s="19" customFormat="1" ht="12.6" customHeight="1" x14ac:dyDescent="0.2">
      <c r="A237" s="72" t="s">
        <v>150</v>
      </c>
      <c r="B237" s="72" t="s">
        <v>188</v>
      </c>
      <c r="C237" s="40"/>
      <c r="D237" s="40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0"/>
      <c r="R237" s="40"/>
      <c r="S237" s="40"/>
      <c r="T237" s="73">
        <v>11000</v>
      </c>
      <c r="U237" s="41"/>
      <c r="V237" s="149" t="s">
        <v>86</v>
      </c>
      <c r="W237" s="42"/>
      <c r="X237" s="2">
        <v>53.9</v>
      </c>
      <c r="Y237" s="113"/>
      <c r="Z237" s="43"/>
      <c r="AA237" s="40"/>
      <c r="AB237" s="40"/>
      <c r="AC237" s="43"/>
      <c r="AD237" s="43"/>
      <c r="AE237" s="43"/>
      <c r="AF237" s="43"/>
      <c r="AG237" s="75">
        <v>44812</v>
      </c>
      <c r="AH237" s="75">
        <v>44812</v>
      </c>
      <c r="AI237" s="77">
        <v>44881</v>
      </c>
      <c r="AJ237" s="77">
        <v>44888</v>
      </c>
      <c r="AK237" s="77">
        <v>44888</v>
      </c>
      <c r="AL237" s="135" t="s">
        <v>31</v>
      </c>
      <c r="AM237" s="73">
        <v>11000</v>
      </c>
      <c r="AN237" s="96"/>
      <c r="AO237" s="96"/>
      <c r="AP237" s="73">
        <v>10780</v>
      </c>
      <c r="AQ237" s="44"/>
      <c r="AR237" s="114"/>
      <c r="AS237" s="98"/>
      <c r="AT237" s="98"/>
      <c r="AU237" s="98"/>
      <c r="AV237" s="98"/>
      <c r="AW237" s="98"/>
      <c r="AX237" s="98"/>
      <c r="AY237" s="98"/>
      <c r="AZ237" s="115"/>
    </row>
    <row r="238" spans="1:52" s="19" customFormat="1" ht="12.6" customHeight="1" x14ac:dyDescent="0.2">
      <c r="A238" s="72" t="s">
        <v>152</v>
      </c>
      <c r="B238" s="72" t="s">
        <v>200</v>
      </c>
      <c r="C238" s="40"/>
      <c r="D238" s="40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0"/>
      <c r="R238" s="40"/>
      <c r="S238" s="40"/>
      <c r="T238" s="73">
        <v>3500</v>
      </c>
      <c r="U238" s="41"/>
      <c r="V238" s="149" t="s">
        <v>86</v>
      </c>
      <c r="W238" s="42"/>
      <c r="X238" s="2">
        <v>53.9</v>
      </c>
      <c r="Y238" s="113"/>
      <c r="Z238" s="43"/>
      <c r="AA238" s="40"/>
      <c r="AB238" s="40"/>
      <c r="AC238" s="43"/>
      <c r="AD238" s="43"/>
      <c r="AE238" s="43"/>
      <c r="AF238" s="43"/>
      <c r="AG238" s="75">
        <v>44812</v>
      </c>
      <c r="AH238" s="75">
        <v>44812</v>
      </c>
      <c r="AI238" s="77">
        <v>44881</v>
      </c>
      <c r="AJ238" s="77">
        <v>44888</v>
      </c>
      <c r="AK238" s="77">
        <v>44888</v>
      </c>
      <c r="AL238" s="135" t="s">
        <v>31</v>
      </c>
      <c r="AM238" s="73">
        <v>3500</v>
      </c>
      <c r="AN238" s="96"/>
      <c r="AO238" s="96"/>
      <c r="AP238" s="73">
        <v>3200</v>
      </c>
      <c r="AQ238" s="44"/>
      <c r="AR238" s="114"/>
      <c r="AS238" s="98"/>
      <c r="AT238" s="98"/>
      <c r="AU238" s="98"/>
      <c r="AV238" s="98"/>
      <c r="AW238" s="98"/>
      <c r="AX238" s="98"/>
      <c r="AY238" s="98"/>
      <c r="AZ238" s="115"/>
    </row>
    <row r="239" spans="1:52" s="19" customFormat="1" ht="12.6" customHeight="1" x14ac:dyDescent="0.2">
      <c r="A239" s="72" t="s">
        <v>137</v>
      </c>
      <c r="B239" s="72" t="s">
        <v>112</v>
      </c>
      <c r="C239" s="40"/>
      <c r="D239" s="40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0"/>
      <c r="R239" s="40"/>
      <c r="S239" s="40"/>
      <c r="T239" s="73">
        <v>10000</v>
      </c>
      <c r="U239" s="41"/>
      <c r="V239" s="149" t="s">
        <v>86</v>
      </c>
      <c r="W239" s="42"/>
      <c r="X239" s="2">
        <v>53.9</v>
      </c>
      <c r="Y239" s="113"/>
      <c r="Z239" s="43"/>
      <c r="AA239" s="40"/>
      <c r="AB239" s="40"/>
      <c r="AC239" s="43"/>
      <c r="AD239" s="43"/>
      <c r="AE239" s="43"/>
      <c r="AF239" s="43"/>
      <c r="AG239" s="75">
        <v>44809</v>
      </c>
      <c r="AH239" s="75">
        <v>44809</v>
      </c>
      <c r="AI239" s="77">
        <v>44868</v>
      </c>
      <c r="AJ239" s="77">
        <v>44875</v>
      </c>
      <c r="AK239" s="77">
        <v>44875</v>
      </c>
      <c r="AL239" s="135" t="s">
        <v>31</v>
      </c>
      <c r="AM239" s="73">
        <v>10000</v>
      </c>
      <c r="AN239" s="96"/>
      <c r="AO239" s="96"/>
      <c r="AP239" s="73">
        <v>9820</v>
      </c>
      <c r="AQ239" s="44"/>
      <c r="AR239" s="114"/>
      <c r="AS239" s="98"/>
      <c r="AT239" s="98"/>
      <c r="AU239" s="98"/>
      <c r="AV239" s="98"/>
      <c r="AW239" s="98"/>
      <c r="AX239" s="98"/>
      <c r="AY239" s="98"/>
      <c r="AZ239" s="115"/>
    </row>
    <row r="240" spans="1:52" s="19" customFormat="1" ht="12.6" customHeight="1" x14ac:dyDescent="0.2">
      <c r="A240" s="72" t="s">
        <v>141</v>
      </c>
      <c r="B240" s="72" t="s">
        <v>190</v>
      </c>
      <c r="C240" s="40"/>
      <c r="D240" s="40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0"/>
      <c r="R240" s="40"/>
      <c r="S240" s="40"/>
      <c r="T240" s="73">
        <v>7000</v>
      </c>
      <c r="U240" s="41"/>
      <c r="V240" s="149" t="s">
        <v>86</v>
      </c>
      <c r="W240" s="42"/>
      <c r="X240" s="2">
        <v>53.9</v>
      </c>
      <c r="Y240" s="113"/>
      <c r="Z240" s="43"/>
      <c r="AA240" s="40"/>
      <c r="AB240" s="40"/>
      <c r="AC240" s="43"/>
      <c r="AD240" s="43"/>
      <c r="AE240" s="43"/>
      <c r="AF240" s="43"/>
      <c r="AG240" s="75">
        <v>44809</v>
      </c>
      <c r="AH240" s="75">
        <v>44809</v>
      </c>
      <c r="AI240" s="77">
        <v>44868</v>
      </c>
      <c r="AJ240" s="77">
        <v>44875</v>
      </c>
      <c r="AK240" s="77">
        <v>44875</v>
      </c>
      <c r="AL240" s="135" t="s">
        <v>31</v>
      </c>
      <c r="AM240" s="73">
        <v>7000</v>
      </c>
      <c r="AN240" s="96"/>
      <c r="AO240" s="96"/>
      <c r="AP240" s="73">
        <v>6790</v>
      </c>
      <c r="AQ240" s="44"/>
      <c r="AR240" s="114"/>
      <c r="AS240" s="98"/>
      <c r="AT240" s="98"/>
      <c r="AU240" s="98"/>
      <c r="AV240" s="98"/>
      <c r="AW240" s="98"/>
      <c r="AX240" s="98"/>
      <c r="AY240" s="98"/>
      <c r="AZ240" s="115"/>
    </row>
    <row r="241" spans="1:52" s="19" customFormat="1" ht="12.6" customHeight="1" x14ac:dyDescent="0.2">
      <c r="A241" s="72" t="s">
        <v>147</v>
      </c>
      <c r="B241" s="72" t="s">
        <v>119</v>
      </c>
      <c r="C241" s="40"/>
      <c r="D241" s="40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0"/>
      <c r="R241" s="40"/>
      <c r="S241" s="40"/>
      <c r="T241" s="73">
        <v>34550</v>
      </c>
      <c r="U241" s="41"/>
      <c r="V241" s="149" t="s">
        <v>86</v>
      </c>
      <c r="W241" s="42"/>
      <c r="X241" s="2">
        <v>53.9</v>
      </c>
      <c r="Y241" s="113"/>
      <c r="Z241" s="43"/>
      <c r="AA241" s="40"/>
      <c r="AB241" s="40"/>
      <c r="AC241" s="43"/>
      <c r="AD241" s="43"/>
      <c r="AE241" s="43"/>
      <c r="AF241" s="43"/>
      <c r="AG241" s="75">
        <v>44806</v>
      </c>
      <c r="AH241" s="75">
        <v>44806</v>
      </c>
      <c r="AI241" s="77">
        <v>44830</v>
      </c>
      <c r="AJ241" s="152">
        <v>44834</v>
      </c>
      <c r="AK241" s="152">
        <v>44834</v>
      </c>
      <c r="AL241" s="135" t="s">
        <v>31</v>
      </c>
      <c r="AM241" s="73">
        <v>34550</v>
      </c>
      <c r="AN241" s="96"/>
      <c r="AO241" s="96"/>
      <c r="AP241" s="73">
        <v>34100</v>
      </c>
      <c r="AQ241" s="44"/>
      <c r="AR241" s="114"/>
      <c r="AS241" s="98"/>
      <c r="AT241" s="98"/>
      <c r="AU241" s="98"/>
      <c r="AV241" s="98"/>
      <c r="AW241" s="98"/>
      <c r="AX241" s="98"/>
      <c r="AY241" s="98"/>
      <c r="AZ241" s="115"/>
    </row>
    <row r="242" spans="1:52" s="19" customFormat="1" ht="12.6" customHeight="1" x14ac:dyDescent="0.2">
      <c r="A242" s="72" t="s">
        <v>152</v>
      </c>
      <c r="B242" s="72" t="s">
        <v>124</v>
      </c>
      <c r="C242" s="40"/>
      <c r="D242" s="40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0"/>
      <c r="R242" s="40"/>
      <c r="S242" s="40"/>
      <c r="T242" s="73">
        <v>9150</v>
      </c>
      <c r="U242" s="41"/>
      <c r="V242" s="149" t="s">
        <v>87</v>
      </c>
      <c r="W242" s="42"/>
      <c r="X242" s="2">
        <v>53.9</v>
      </c>
      <c r="Y242" s="113"/>
      <c r="Z242" s="43"/>
      <c r="AA242" s="40"/>
      <c r="AB242" s="40"/>
      <c r="AC242" s="43"/>
      <c r="AD242" s="43"/>
      <c r="AE242" s="43"/>
      <c r="AF242" s="43"/>
      <c r="AG242" s="75">
        <v>44806</v>
      </c>
      <c r="AH242" s="75">
        <v>44806</v>
      </c>
      <c r="AI242" s="77">
        <v>44830</v>
      </c>
      <c r="AJ242" s="152">
        <v>44834</v>
      </c>
      <c r="AK242" s="152">
        <v>44834</v>
      </c>
      <c r="AL242" s="135" t="s">
        <v>31</v>
      </c>
      <c r="AM242" s="73">
        <v>9150</v>
      </c>
      <c r="AN242" s="96"/>
      <c r="AO242" s="96"/>
      <c r="AP242" s="73">
        <v>9040</v>
      </c>
      <c r="AQ242" s="44"/>
      <c r="AR242" s="114"/>
      <c r="AS242" s="98"/>
      <c r="AT242" s="98"/>
      <c r="AU242" s="98"/>
      <c r="AV242" s="98"/>
      <c r="AW242" s="98"/>
      <c r="AX242" s="98"/>
      <c r="AY242" s="98"/>
      <c r="AZ242" s="115"/>
    </row>
    <row r="243" spans="1:52" s="19" customFormat="1" ht="12.6" customHeight="1" x14ac:dyDescent="0.2">
      <c r="A243" s="72" t="s">
        <v>139</v>
      </c>
      <c r="B243" s="72" t="s">
        <v>198</v>
      </c>
      <c r="C243" s="40"/>
      <c r="D243" s="40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0"/>
      <c r="R243" s="40"/>
      <c r="S243" s="40"/>
      <c r="T243" s="73">
        <v>10000</v>
      </c>
      <c r="U243" s="41"/>
      <c r="V243" s="149" t="s">
        <v>87</v>
      </c>
      <c r="W243" s="42"/>
      <c r="X243" s="2">
        <v>53.9</v>
      </c>
      <c r="Y243" s="113"/>
      <c r="Z243" s="43"/>
      <c r="AA243" s="40"/>
      <c r="AB243" s="40"/>
      <c r="AC243" s="43"/>
      <c r="AD243" s="43"/>
      <c r="AE243" s="43"/>
      <c r="AF243" s="43"/>
      <c r="AG243" s="75">
        <v>44886</v>
      </c>
      <c r="AH243" s="75">
        <v>44886</v>
      </c>
      <c r="AI243" s="77">
        <v>44909</v>
      </c>
      <c r="AJ243" s="77">
        <v>44915</v>
      </c>
      <c r="AK243" s="77">
        <v>44915</v>
      </c>
      <c r="AL243" s="135" t="s">
        <v>31</v>
      </c>
      <c r="AM243" s="73">
        <v>10000</v>
      </c>
      <c r="AN243" s="96"/>
      <c r="AO243" s="96"/>
      <c r="AP243" s="73">
        <v>9760</v>
      </c>
      <c r="AQ243" s="44"/>
      <c r="AR243" s="114"/>
      <c r="AS243" s="98"/>
      <c r="AT243" s="98"/>
      <c r="AU243" s="98"/>
      <c r="AV243" s="98"/>
      <c r="AW243" s="98"/>
      <c r="AX243" s="98"/>
      <c r="AY243" s="98"/>
      <c r="AZ243" s="115"/>
    </row>
    <row r="244" spans="1:52" s="19" customFormat="1" ht="12.6" customHeight="1" x14ac:dyDescent="0.2">
      <c r="A244" s="72" t="s">
        <v>139</v>
      </c>
      <c r="B244" s="72" t="s">
        <v>198</v>
      </c>
      <c r="C244" s="40"/>
      <c r="D244" s="40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0"/>
      <c r="R244" s="40"/>
      <c r="S244" s="40"/>
      <c r="T244" s="73">
        <v>26600</v>
      </c>
      <c r="U244" s="41"/>
      <c r="V244" s="145" t="s">
        <v>96</v>
      </c>
      <c r="W244" s="42"/>
      <c r="X244" s="2">
        <v>53.9</v>
      </c>
      <c r="Y244" s="113"/>
      <c r="Z244" s="43"/>
      <c r="AA244" s="40"/>
      <c r="AB244" s="40"/>
      <c r="AC244" s="43"/>
      <c r="AD244" s="43"/>
      <c r="AE244" s="43"/>
      <c r="AF244" s="43"/>
      <c r="AG244" s="75">
        <v>44875</v>
      </c>
      <c r="AH244" s="75">
        <v>44875</v>
      </c>
      <c r="AI244" s="77">
        <v>44897</v>
      </c>
      <c r="AJ244" s="77">
        <v>44904</v>
      </c>
      <c r="AK244" s="77">
        <v>44904</v>
      </c>
      <c r="AL244" s="135" t="s">
        <v>31</v>
      </c>
      <c r="AM244" s="73">
        <v>26600</v>
      </c>
      <c r="AN244" s="96"/>
      <c r="AO244" s="96"/>
      <c r="AP244" s="73">
        <v>26260</v>
      </c>
      <c r="AQ244" s="44"/>
      <c r="AR244" s="114"/>
      <c r="AS244" s="98"/>
      <c r="AT244" s="98"/>
      <c r="AU244" s="98"/>
      <c r="AV244" s="98"/>
      <c r="AW244" s="98"/>
      <c r="AX244" s="98"/>
      <c r="AY244" s="98"/>
      <c r="AZ244" s="115"/>
    </row>
    <row r="245" spans="1:52" s="19" customFormat="1" ht="12.6" customHeight="1" x14ac:dyDescent="0.2">
      <c r="A245" s="72" t="s">
        <v>146</v>
      </c>
      <c r="B245" s="72" t="s">
        <v>121</v>
      </c>
      <c r="C245" s="40"/>
      <c r="D245" s="40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0"/>
      <c r="R245" s="40"/>
      <c r="S245" s="40"/>
      <c r="T245" s="73">
        <v>680340</v>
      </c>
      <c r="U245" s="41"/>
      <c r="V245" s="145" t="s">
        <v>78</v>
      </c>
      <c r="W245" s="42"/>
      <c r="X245" s="2">
        <v>53.9</v>
      </c>
      <c r="Y245" s="113"/>
      <c r="Z245" s="43"/>
      <c r="AA245" s="40"/>
      <c r="AB245" s="40"/>
      <c r="AC245" s="43"/>
      <c r="AD245" s="43"/>
      <c r="AE245" s="43"/>
      <c r="AF245" s="43"/>
      <c r="AG245" s="142">
        <v>44635</v>
      </c>
      <c r="AH245" s="142">
        <v>44635</v>
      </c>
      <c r="AI245" s="77">
        <v>44671</v>
      </c>
      <c r="AJ245" s="79">
        <v>44678</v>
      </c>
      <c r="AK245" s="79">
        <v>44678</v>
      </c>
      <c r="AL245" s="135" t="s">
        <v>31</v>
      </c>
      <c r="AM245" s="73">
        <v>680340</v>
      </c>
      <c r="AN245" s="96"/>
      <c r="AO245" s="96"/>
      <c r="AP245" s="73">
        <v>677311</v>
      </c>
      <c r="AQ245" s="44"/>
      <c r="AR245" s="114"/>
      <c r="AS245" s="98"/>
      <c r="AT245" s="98"/>
      <c r="AU245" s="98"/>
      <c r="AV245" s="98"/>
      <c r="AW245" s="98"/>
      <c r="AX245" s="98"/>
      <c r="AY245" s="98"/>
      <c r="AZ245" s="115"/>
    </row>
    <row r="246" spans="1:52" s="19" customFormat="1" ht="12.6" customHeight="1" x14ac:dyDescent="0.2">
      <c r="A246" s="72" t="s">
        <v>140</v>
      </c>
      <c r="B246" s="72" t="s">
        <v>115</v>
      </c>
      <c r="C246" s="40"/>
      <c r="D246" s="40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0"/>
      <c r="R246" s="40"/>
      <c r="S246" s="40"/>
      <c r="T246" s="73">
        <v>10000</v>
      </c>
      <c r="U246" s="41"/>
      <c r="V246" s="145" t="s">
        <v>97</v>
      </c>
      <c r="W246" s="42"/>
      <c r="X246" s="2">
        <v>53.9</v>
      </c>
      <c r="Y246" s="113"/>
      <c r="Z246" s="43"/>
      <c r="AA246" s="40"/>
      <c r="AB246" s="40"/>
      <c r="AC246" s="43"/>
      <c r="AD246" s="43"/>
      <c r="AE246" s="43"/>
      <c r="AF246" s="43"/>
      <c r="AG246" s="75">
        <v>44809</v>
      </c>
      <c r="AH246" s="75">
        <v>44809</v>
      </c>
      <c r="AI246" s="77">
        <v>44881</v>
      </c>
      <c r="AJ246" s="77">
        <v>44888</v>
      </c>
      <c r="AK246" s="77">
        <v>44888</v>
      </c>
      <c r="AL246" s="135" t="s">
        <v>31</v>
      </c>
      <c r="AM246" s="73">
        <v>10000</v>
      </c>
      <c r="AN246" s="96"/>
      <c r="AO246" s="96"/>
      <c r="AP246" s="73">
        <v>9880</v>
      </c>
      <c r="AQ246" s="44"/>
      <c r="AR246" s="114"/>
      <c r="AS246" s="98"/>
      <c r="AT246" s="98"/>
      <c r="AU246" s="98"/>
      <c r="AV246" s="98"/>
      <c r="AW246" s="98"/>
      <c r="AX246" s="98"/>
      <c r="AY246" s="98"/>
      <c r="AZ246" s="115"/>
    </row>
    <row r="247" spans="1:52" s="19" customFormat="1" ht="12.6" customHeight="1" x14ac:dyDescent="0.2">
      <c r="A247" s="72" t="s">
        <v>137</v>
      </c>
      <c r="B247" s="72" t="s">
        <v>209</v>
      </c>
      <c r="C247" s="40"/>
      <c r="D247" s="40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0"/>
      <c r="R247" s="40"/>
      <c r="S247" s="40"/>
      <c r="T247" s="73">
        <v>50000</v>
      </c>
      <c r="U247" s="41"/>
      <c r="V247" s="147" t="s">
        <v>86</v>
      </c>
      <c r="W247" s="42"/>
      <c r="X247" s="2">
        <v>53.9</v>
      </c>
      <c r="Y247" s="113"/>
      <c r="Z247" s="43"/>
      <c r="AA247" s="40"/>
      <c r="AB247" s="40"/>
      <c r="AC247" s="43"/>
      <c r="AD247" s="43"/>
      <c r="AE247" s="43"/>
      <c r="AF247" s="43"/>
      <c r="AG247" s="75">
        <v>44879</v>
      </c>
      <c r="AH247" s="75">
        <v>44879</v>
      </c>
      <c r="AI247" s="77">
        <v>44907</v>
      </c>
      <c r="AJ247" s="77">
        <v>44914</v>
      </c>
      <c r="AK247" s="77">
        <v>44914</v>
      </c>
      <c r="AL247" s="135" t="s">
        <v>31</v>
      </c>
      <c r="AM247" s="73">
        <v>50000</v>
      </c>
      <c r="AN247" s="96"/>
      <c r="AO247" s="96"/>
      <c r="AP247" s="73">
        <v>49490.5</v>
      </c>
      <c r="AQ247" s="44"/>
      <c r="AR247" s="114"/>
      <c r="AS247" s="98"/>
      <c r="AT247" s="98"/>
      <c r="AU247" s="98"/>
      <c r="AV247" s="98"/>
      <c r="AW247" s="98"/>
      <c r="AX247" s="98"/>
      <c r="AY247" s="98"/>
      <c r="AZ247" s="115"/>
    </row>
    <row r="248" spans="1:52" s="19" customFormat="1" ht="12.6" customHeight="1" x14ac:dyDescent="0.2">
      <c r="A248" s="72" t="s">
        <v>139</v>
      </c>
      <c r="B248" s="72" t="s">
        <v>114</v>
      </c>
      <c r="C248" s="40"/>
      <c r="D248" s="40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0"/>
      <c r="R248" s="40"/>
      <c r="S248" s="40"/>
      <c r="T248" s="73">
        <v>55000</v>
      </c>
      <c r="U248" s="41"/>
      <c r="V248" s="145" t="s">
        <v>80</v>
      </c>
      <c r="W248" s="42"/>
      <c r="X248" s="2">
        <v>53.9</v>
      </c>
      <c r="Y248" s="113"/>
      <c r="Z248" s="43"/>
      <c r="AA248" s="40"/>
      <c r="AB248" s="40"/>
      <c r="AC248" s="43"/>
      <c r="AD248" s="43"/>
      <c r="AE248" s="43"/>
      <c r="AF248" s="43"/>
      <c r="AG248" s="75">
        <v>44810</v>
      </c>
      <c r="AH248" s="75">
        <v>44810</v>
      </c>
      <c r="AI248" s="77">
        <v>44834</v>
      </c>
      <c r="AJ248" s="148">
        <v>44869</v>
      </c>
      <c r="AK248" s="148">
        <v>44869</v>
      </c>
      <c r="AL248" s="135" t="s">
        <v>31</v>
      </c>
      <c r="AM248" s="73">
        <v>55000</v>
      </c>
      <c r="AN248" s="96"/>
      <c r="AO248" s="96"/>
      <c r="AP248" s="73">
        <v>52820</v>
      </c>
      <c r="AQ248" s="44"/>
      <c r="AR248" s="114"/>
      <c r="AS248" s="98"/>
      <c r="AT248" s="98"/>
      <c r="AU248" s="98"/>
      <c r="AV248" s="98"/>
      <c r="AW248" s="98"/>
      <c r="AX248" s="98"/>
      <c r="AY248" s="98"/>
      <c r="AZ248" s="115"/>
    </row>
    <row r="249" spans="1:52" s="19" customFormat="1" ht="12.6" customHeight="1" x14ac:dyDescent="0.2">
      <c r="A249" s="153" t="s">
        <v>137</v>
      </c>
      <c r="B249" s="153" t="s">
        <v>112</v>
      </c>
      <c r="C249" s="40"/>
      <c r="D249" s="40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0"/>
      <c r="R249" s="40"/>
      <c r="S249" s="40"/>
      <c r="T249" s="154">
        <v>90000</v>
      </c>
      <c r="U249" s="41"/>
      <c r="V249" s="145" t="s">
        <v>90</v>
      </c>
      <c r="W249" s="42"/>
      <c r="X249" s="2">
        <v>53.9</v>
      </c>
      <c r="Y249" s="113"/>
      <c r="Z249" s="43"/>
      <c r="AA249" s="40"/>
      <c r="AB249" s="40"/>
      <c r="AC249" s="43"/>
      <c r="AD249" s="43"/>
      <c r="AE249" s="43"/>
      <c r="AF249" s="43"/>
      <c r="AG249" s="75">
        <v>44832</v>
      </c>
      <c r="AH249" s="75">
        <v>44832</v>
      </c>
      <c r="AI249" s="77">
        <v>44868</v>
      </c>
      <c r="AJ249" s="77">
        <v>44874</v>
      </c>
      <c r="AK249" s="77">
        <v>44874</v>
      </c>
      <c r="AL249" s="135" t="s">
        <v>31</v>
      </c>
      <c r="AM249" s="154">
        <v>90000</v>
      </c>
      <c r="AN249" s="96"/>
      <c r="AO249" s="96"/>
      <c r="AP249" s="73">
        <v>89455</v>
      </c>
      <c r="AQ249" s="44"/>
      <c r="AR249" s="114"/>
      <c r="AS249" s="98"/>
      <c r="AT249" s="98"/>
      <c r="AU249" s="98"/>
      <c r="AV249" s="98"/>
      <c r="AW249" s="98"/>
      <c r="AX249" s="98"/>
      <c r="AY249" s="98"/>
      <c r="AZ249" s="115"/>
    </row>
    <row r="250" spans="1:52" s="19" customFormat="1" ht="12.6" customHeight="1" x14ac:dyDescent="0.2">
      <c r="A250" s="72" t="s">
        <v>143</v>
      </c>
      <c r="B250" s="72" t="s">
        <v>185</v>
      </c>
      <c r="C250" s="40"/>
      <c r="D250" s="40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0"/>
      <c r="R250" s="40"/>
      <c r="S250" s="40"/>
      <c r="T250" s="73">
        <v>41000</v>
      </c>
      <c r="U250" s="41"/>
      <c r="V250" s="149" t="s">
        <v>91</v>
      </c>
      <c r="W250" s="42"/>
      <c r="X250" s="2">
        <v>53.9</v>
      </c>
      <c r="Y250" s="113"/>
      <c r="Z250" s="43"/>
      <c r="AA250" s="40"/>
      <c r="AB250" s="40"/>
      <c r="AC250" s="43"/>
      <c r="AD250" s="43"/>
      <c r="AE250" s="43"/>
      <c r="AF250" s="43"/>
      <c r="AG250" s="75">
        <v>44832</v>
      </c>
      <c r="AH250" s="75">
        <v>44832</v>
      </c>
      <c r="AI250" s="77">
        <v>44868</v>
      </c>
      <c r="AJ250" s="77">
        <v>44874</v>
      </c>
      <c r="AK250" s="77">
        <v>44874</v>
      </c>
      <c r="AL250" s="135" t="s">
        <v>31</v>
      </c>
      <c r="AM250" s="73">
        <v>41000</v>
      </c>
      <c r="AN250" s="96"/>
      <c r="AO250" s="96"/>
      <c r="AP250" s="73">
        <v>40647</v>
      </c>
      <c r="AQ250" s="44"/>
      <c r="AR250" s="114"/>
      <c r="AS250" s="98"/>
      <c r="AT250" s="98"/>
      <c r="AU250" s="98"/>
      <c r="AV250" s="98"/>
      <c r="AW250" s="98"/>
      <c r="AX250" s="98"/>
      <c r="AY250" s="98"/>
      <c r="AZ250" s="115"/>
    </row>
    <row r="251" spans="1:52" s="19" customFormat="1" ht="12.6" customHeight="1" x14ac:dyDescent="0.2">
      <c r="A251" s="72" t="s">
        <v>152</v>
      </c>
      <c r="B251" s="72" t="s">
        <v>124</v>
      </c>
      <c r="C251" s="40"/>
      <c r="D251" s="40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0"/>
      <c r="R251" s="40"/>
      <c r="S251" s="40"/>
      <c r="T251" s="73">
        <v>6000</v>
      </c>
      <c r="U251" s="41"/>
      <c r="V251" s="149" t="s">
        <v>91</v>
      </c>
      <c r="W251" s="42"/>
      <c r="X251" s="2">
        <v>53.9</v>
      </c>
      <c r="Y251" s="113"/>
      <c r="Z251" s="43"/>
      <c r="AA251" s="40"/>
      <c r="AB251" s="40"/>
      <c r="AC251" s="43"/>
      <c r="AD251" s="43"/>
      <c r="AE251" s="43"/>
      <c r="AF251" s="43"/>
      <c r="AG251" s="75">
        <v>44832</v>
      </c>
      <c r="AH251" s="75">
        <v>44832</v>
      </c>
      <c r="AI251" s="77">
        <v>44868</v>
      </c>
      <c r="AJ251" s="77">
        <v>44874</v>
      </c>
      <c r="AK251" s="77">
        <v>44874</v>
      </c>
      <c r="AL251" s="135" t="s">
        <v>31</v>
      </c>
      <c r="AM251" s="73">
        <v>6000</v>
      </c>
      <c r="AN251" s="96"/>
      <c r="AO251" s="96"/>
      <c r="AP251" s="73">
        <v>5999</v>
      </c>
      <c r="AQ251" s="44"/>
      <c r="AR251" s="114"/>
      <c r="AS251" s="98"/>
      <c r="AT251" s="98"/>
      <c r="AU251" s="98"/>
      <c r="AV251" s="98"/>
      <c r="AW251" s="98"/>
      <c r="AX251" s="98"/>
      <c r="AY251" s="98"/>
      <c r="AZ251" s="115"/>
    </row>
    <row r="252" spans="1:52" s="19" customFormat="1" ht="12.6" customHeight="1" x14ac:dyDescent="0.2">
      <c r="A252" s="72" t="s">
        <v>137</v>
      </c>
      <c r="B252" s="72" t="s">
        <v>112</v>
      </c>
      <c r="C252" s="40"/>
      <c r="D252" s="40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0"/>
      <c r="R252" s="40"/>
      <c r="S252" s="40"/>
      <c r="T252" s="73">
        <v>100000</v>
      </c>
      <c r="U252" s="41"/>
      <c r="V252" s="149" t="s">
        <v>91</v>
      </c>
      <c r="W252" s="42"/>
      <c r="X252" s="2">
        <v>53.9</v>
      </c>
      <c r="Y252" s="113"/>
      <c r="Z252" s="43"/>
      <c r="AA252" s="40"/>
      <c r="AB252" s="40"/>
      <c r="AC252" s="43"/>
      <c r="AD252" s="43"/>
      <c r="AE252" s="43"/>
      <c r="AF252" s="43"/>
      <c r="AG252" s="75">
        <v>44832</v>
      </c>
      <c r="AH252" s="75">
        <v>44832</v>
      </c>
      <c r="AI252" s="77">
        <v>44897</v>
      </c>
      <c r="AJ252" s="77">
        <v>44904</v>
      </c>
      <c r="AK252" s="77">
        <v>44904</v>
      </c>
      <c r="AL252" s="135" t="s">
        <v>31</v>
      </c>
      <c r="AM252" s="73">
        <v>100000</v>
      </c>
      <c r="AN252" s="96"/>
      <c r="AO252" s="96"/>
      <c r="AP252" s="73">
        <v>99108</v>
      </c>
      <c r="AQ252" s="44"/>
      <c r="AR252" s="114"/>
      <c r="AS252" s="98"/>
      <c r="AT252" s="98"/>
      <c r="AU252" s="98"/>
      <c r="AV252" s="98"/>
      <c r="AW252" s="98"/>
      <c r="AX252" s="98"/>
      <c r="AY252" s="98"/>
      <c r="AZ252" s="115"/>
    </row>
    <row r="253" spans="1:52" s="19" customFormat="1" ht="12.6" customHeight="1" x14ac:dyDescent="0.2">
      <c r="A253" s="72" t="s">
        <v>137</v>
      </c>
      <c r="B253" s="72" t="s">
        <v>112</v>
      </c>
      <c r="C253" s="40"/>
      <c r="D253" s="40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0"/>
      <c r="R253" s="40"/>
      <c r="S253" s="40"/>
      <c r="T253" s="73">
        <v>65000</v>
      </c>
      <c r="U253" s="41"/>
      <c r="V253" s="149" t="s">
        <v>102</v>
      </c>
      <c r="W253" s="42"/>
      <c r="X253" s="2">
        <v>53.9</v>
      </c>
      <c r="Y253" s="113"/>
      <c r="Z253" s="43"/>
      <c r="AA253" s="40"/>
      <c r="AB253" s="40"/>
      <c r="AC253" s="43"/>
      <c r="AD253" s="43"/>
      <c r="AE253" s="43"/>
      <c r="AF253" s="43"/>
      <c r="AG253" s="75">
        <v>44832</v>
      </c>
      <c r="AH253" s="75">
        <v>44832</v>
      </c>
      <c r="AI253" s="77">
        <v>44897</v>
      </c>
      <c r="AJ253" s="77">
        <v>44904</v>
      </c>
      <c r="AK253" s="77">
        <v>44904</v>
      </c>
      <c r="AL253" s="135" t="s">
        <v>31</v>
      </c>
      <c r="AM253" s="73">
        <v>65000</v>
      </c>
      <c r="AN253" s="96"/>
      <c r="AO253" s="96"/>
      <c r="AP253" s="73">
        <v>64350</v>
      </c>
      <c r="AQ253" s="44"/>
      <c r="AR253" s="114"/>
      <c r="AS253" s="98"/>
      <c r="AT253" s="98"/>
      <c r="AU253" s="98"/>
      <c r="AV253" s="98"/>
      <c r="AW253" s="98"/>
      <c r="AX253" s="98"/>
      <c r="AY253" s="98"/>
      <c r="AZ253" s="115"/>
    </row>
    <row r="254" spans="1:52" s="19" customFormat="1" ht="12.6" customHeight="1" x14ac:dyDescent="0.2">
      <c r="A254" s="72" t="s">
        <v>142</v>
      </c>
      <c r="B254" s="72" t="s">
        <v>116</v>
      </c>
      <c r="C254" s="40"/>
      <c r="D254" s="40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0"/>
      <c r="R254" s="40"/>
      <c r="S254" s="40"/>
      <c r="T254" s="73">
        <v>7000</v>
      </c>
      <c r="U254" s="41"/>
      <c r="V254" s="149" t="s">
        <v>102</v>
      </c>
      <c r="W254" s="42"/>
      <c r="X254" s="2">
        <v>53.9</v>
      </c>
      <c r="Y254" s="113"/>
      <c r="Z254" s="43"/>
      <c r="AA254" s="40"/>
      <c r="AB254" s="40"/>
      <c r="AC254" s="43"/>
      <c r="AD254" s="43"/>
      <c r="AE254" s="43"/>
      <c r="AF254" s="43"/>
      <c r="AG254" s="75">
        <v>44832</v>
      </c>
      <c r="AH254" s="75">
        <v>44832</v>
      </c>
      <c r="AI254" s="77">
        <v>44897</v>
      </c>
      <c r="AJ254" s="77">
        <v>44904</v>
      </c>
      <c r="AK254" s="77">
        <v>44904</v>
      </c>
      <c r="AL254" s="135" t="s">
        <v>31</v>
      </c>
      <c r="AM254" s="73">
        <v>7000</v>
      </c>
      <c r="AN254" s="96"/>
      <c r="AO254" s="96"/>
      <c r="AP254" s="73">
        <v>6598</v>
      </c>
      <c r="AQ254" s="44"/>
      <c r="AR254" s="114"/>
      <c r="AS254" s="98"/>
      <c r="AT254" s="98"/>
      <c r="AU254" s="98"/>
      <c r="AV254" s="98"/>
      <c r="AW254" s="98"/>
      <c r="AX254" s="98"/>
      <c r="AY254" s="98"/>
      <c r="AZ254" s="115"/>
    </row>
    <row r="255" spans="1:52" s="19" customFormat="1" ht="12.6" customHeight="1" x14ac:dyDescent="0.2">
      <c r="A255" s="153" t="s">
        <v>143</v>
      </c>
      <c r="B255" s="72" t="s">
        <v>185</v>
      </c>
      <c r="C255" s="40"/>
      <c r="D255" s="40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0"/>
      <c r="R255" s="40"/>
      <c r="S255" s="40"/>
      <c r="T255" s="73">
        <v>121000</v>
      </c>
      <c r="U255" s="41"/>
      <c r="V255" s="149" t="s">
        <v>102</v>
      </c>
      <c r="W255" s="42"/>
      <c r="X255" s="2">
        <v>53.9</v>
      </c>
      <c r="Y255" s="113"/>
      <c r="Z255" s="43"/>
      <c r="AA255" s="40"/>
      <c r="AB255" s="40"/>
      <c r="AC255" s="43"/>
      <c r="AD255" s="43"/>
      <c r="AE255" s="43"/>
      <c r="AF255" s="43"/>
      <c r="AG255" s="75">
        <v>44879</v>
      </c>
      <c r="AH255" s="75">
        <v>44879</v>
      </c>
      <c r="AI255" s="77">
        <v>44897</v>
      </c>
      <c r="AJ255" s="77">
        <v>44902</v>
      </c>
      <c r="AK255" s="77">
        <v>44902</v>
      </c>
      <c r="AL255" s="135" t="s">
        <v>31</v>
      </c>
      <c r="AM255" s="73">
        <v>121000</v>
      </c>
      <c r="AN255" s="96"/>
      <c r="AO255" s="96"/>
      <c r="AP255" s="73">
        <v>120046</v>
      </c>
      <c r="AQ255" s="44"/>
      <c r="AR255" s="114"/>
      <c r="AS255" s="98"/>
      <c r="AT255" s="98"/>
      <c r="AU255" s="98"/>
      <c r="AV255" s="98"/>
      <c r="AW255" s="98"/>
      <c r="AX255" s="98"/>
      <c r="AY255" s="98"/>
      <c r="AZ255" s="115"/>
    </row>
    <row r="256" spans="1:52" s="19" customFormat="1" ht="12.6" customHeight="1" x14ac:dyDescent="0.2">
      <c r="A256" s="72" t="s">
        <v>141</v>
      </c>
      <c r="B256" s="72" t="s">
        <v>190</v>
      </c>
      <c r="C256" s="40"/>
      <c r="D256" s="40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0"/>
      <c r="R256" s="40"/>
      <c r="S256" s="40"/>
      <c r="T256" s="73">
        <v>37500</v>
      </c>
      <c r="U256" s="41"/>
      <c r="V256" s="145" t="s">
        <v>91</v>
      </c>
      <c r="W256" s="42"/>
      <c r="X256" s="2">
        <v>53.9</v>
      </c>
      <c r="Y256" s="113"/>
      <c r="Z256" s="43"/>
      <c r="AA256" s="40"/>
      <c r="AB256" s="40"/>
      <c r="AC256" s="43"/>
      <c r="AD256" s="43"/>
      <c r="AE256" s="43"/>
      <c r="AF256" s="43"/>
      <c r="AG256" s="75">
        <v>44806</v>
      </c>
      <c r="AH256" s="75">
        <v>44806</v>
      </c>
      <c r="AI256" s="77">
        <v>44862</v>
      </c>
      <c r="AJ256" s="148">
        <v>44869</v>
      </c>
      <c r="AK256" s="148">
        <v>44869</v>
      </c>
      <c r="AL256" s="135" t="s">
        <v>31</v>
      </c>
      <c r="AM256" s="73">
        <v>37500</v>
      </c>
      <c r="AN256" s="96"/>
      <c r="AO256" s="96"/>
      <c r="AP256" s="73">
        <v>37252</v>
      </c>
      <c r="AQ256" s="44"/>
      <c r="AR256" s="114"/>
      <c r="AS256" s="98"/>
      <c r="AT256" s="98"/>
      <c r="AU256" s="98"/>
      <c r="AV256" s="98"/>
      <c r="AW256" s="98"/>
      <c r="AX256" s="98"/>
      <c r="AY256" s="98"/>
      <c r="AZ256" s="115"/>
    </row>
    <row r="257" spans="1:52" s="19" customFormat="1" ht="12.6" customHeight="1" x14ac:dyDescent="0.2">
      <c r="A257" s="72" t="s">
        <v>139</v>
      </c>
      <c r="B257" s="72" t="s">
        <v>198</v>
      </c>
      <c r="C257" s="40"/>
      <c r="D257" s="40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0"/>
      <c r="R257" s="40"/>
      <c r="S257" s="40"/>
      <c r="T257" s="73">
        <v>101500</v>
      </c>
      <c r="U257" s="41"/>
      <c r="V257" s="145" t="s">
        <v>101</v>
      </c>
      <c r="W257" s="42"/>
      <c r="X257" s="2">
        <v>53.9</v>
      </c>
      <c r="Y257" s="113"/>
      <c r="Z257" s="43"/>
      <c r="AA257" s="40"/>
      <c r="AB257" s="40"/>
      <c r="AC257" s="43"/>
      <c r="AD257" s="43"/>
      <c r="AE257" s="43"/>
      <c r="AF257" s="43"/>
      <c r="AG257" s="75">
        <v>44832</v>
      </c>
      <c r="AH257" s="75">
        <v>44832</v>
      </c>
      <c r="AI257" s="77">
        <v>44881</v>
      </c>
      <c r="AJ257" s="77">
        <v>44888</v>
      </c>
      <c r="AK257" s="77">
        <v>44888</v>
      </c>
      <c r="AL257" s="135" t="s">
        <v>31</v>
      </c>
      <c r="AM257" s="73">
        <v>101500</v>
      </c>
      <c r="AN257" s="96"/>
      <c r="AO257" s="96"/>
      <c r="AP257" s="73">
        <v>100865</v>
      </c>
      <c r="AQ257" s="44"/>
      <c r="AR257" s="114"/>
      <c r="AS257" s="98"/>
      <c r="AT257" s="98"/>
      <c r="AU257" s="98"/>
      <c r="AV257" s="98"/>
      <c r="AW257" s="98"/>
      <c r="AX257" s="98"/>
      <c r="AY257" s="98"/>
      <c r="AZ257" s="115"/>
    </row>
    <row r="258" spans="1:52" s="19" customFormat="1" ht="12.6" customHeight="1" x14ac:dyDescent="0.2">
      <c r="A258" s="72" t="s">
        <v>139</v>
      </c>
      <c r="B258" s="72" t="s">
        <v>198</v>
      </c>
      <c r="C258" s="40"/>
      <c r="D258" s="40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0"/>
      <c r="R258" s="40"/>
      <c r="S258" s="40"/>
      <c r="T258" s="73">
        <v>102500</v>
      </c>
      <c r="U258" s="41"/>
      <c r="V258" s="145" t="s">
        <v>80</v>
      </c>
      <c r="W258" s="42"/>
      <c r="X258" s="2">
        <v>53.9</v>
      </c>
      <c r="Y258" s="113"/>
      <c r="Z258" s="43"/>
      <c r="AA258" s="40"/>
      <c r="AB258" s="40"/>
      <c r="AC258" s="43"/>
      <c r="AD258" s="43"/>
      <c r="AE258" s="43"/>
      <c r="AF258" s="43"/>
      <c r="AG258" s="75">
        <v>44886</v>
      </c>
      <c r="AH258" s="75">
        <v>44886</v>
      </c>
      <c r="AI258" s="77">
        <v>44912</v>
      </c>
      <c r="AJ258" s="77">
        <v>44915</v>
      </c>
      <c r="AK258" s="77">
        <v>44915</v>
      </c>
      <c r="AL258" s="135" t="s">
        <v>31</v>
      </c>
      <c r="AM258" s="73">
        <v>102500</v>
      </c>
      <c r="AN258" s="96"/>
      <c r="AO258" s="96"/>
      <c r="AP258" s="73">
        <v>101634</v>
      </c>
      <c r="AQ258" s="44"/>
      <c r="AR258" s="114"/>
      <c r="AS258" s="98"/>
      <c r="AT258" s="98"/>
      <c r="AU258" s="98"/>
      <c r="AV258" s="98"/>
      <c r="AW258" s="98"/>
      <c r="AX258" s="98"/>
      <c r="AY258" s="98"/>
      <c r="AZ258" s="115"/>
    </row>
    <row r="259" spans="1:52" s="19" customFormat="1" ht="12.6" customHeight="1" x14ac:dyDescent="0.2">
      <c r="A259" s="72" t="s">
        <v>141</v>
      </c>
      <c r="B259" s="72" t="s">
        <v>130</v>
      </c>
      <c r="C259" s="40"/>
      <c r="D259" s="40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0"/>
      <c r="R259" s="40"/>
      <c r="S259" s="40"/>
      <c r="T259" s="73">
        <v>28000</v>
      </c>
      <c r="U259" s="41"/>
      <c r="V259" s="145" t="s">
        <v>93</v>
      </c>
      <c r="W259" s="42"/>
      <c r="X259" s="2">
        <v>53.9</v>
      </c>
      <c r="Y259" s="113"/>
      <c r="Z259" s="43"/>
      <c r="AA259" s="40"/>
      <c r="AB259" s="40"/>
      <c r="AC259" s="43"/>
      <c r="AD259" s="43"/>
      <c r="AE259" s="43"/>
      <c r="AF259" s="43"/>
      <c r="AG259" s="75">
        <v>44853</v>
      </c>
      <c r="AH259" s="75">
        <v>44853</v>
      </c>
      <c r="AI259" s="77">
        <v>44911</v>
      </c>
      <c r="AJ259" s="77">
        <v>44915</v>
      </c>
      <c r="AK259" s="77">
        <v>44915</v>
      </c>
      <c r="AL259" s="135" t="s">
        <v>31</v>
      </c>
      <c r="AM259" s="73">
        <v>28000</v>
      </c>
      <c r="AN259" s="96"/>
      <c r="AO259" s="96"/>
      <c r="AP259" s="73">
        <v>27598</v>
      </c>
      <c r="AQ259" s="44"/>
      <c r="AR259" s="114"/>
      <c r="AS259" s="98"/>
      <c r="AT259" s="98"/>
      <c r="AU259" s="98"/>
      <c r="AV259" s="98"/>
      <c r="AW259" s="98"/>
      <c r="AX259" s="98"/>
      <c r="AY259" s="98"/>
      <c r="AZ259" s="115"/>
    </row>
    <row r="260" spans="1:52" s="19" customFormat="1" ht="12.6" customHeight="1" x14ac:dyDescent="0.2">
      <c r="A260" s="153" t="s">
        <v>139</v>
      </c>
      <c r="B260" s="72" t="s">
        <v>198</v>
      </c>
      <c r="C260" s="40"/>
      <c r="D260" s="40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0"/>
      <c r="R260" s="40"/>
      <c r="S260" s="40"/>
      <c r="T260" s="73">
        <v>90000</v>
      </c>
      <c r="U260" s="41"/>
      <c r="V260" s="145" t="s">
        <v>93</v>
      </c>
      <c r="W260" s="42"/>
      <c r="X260" s="2">
        <v>53.9</v>
      </c>
      <c r="Y260" s="113"/>
      <c r="Z260" s="43"/>
      <c r="AA260" s="40"/>
      <c r="AB260" s="40"/>
      <c r="AC260" s="43"/>
      <c r="AD260" s="43"/>
      <c r="AE260" s="43"/>
      <c r="AF260" s="43"/>
      <c r="AG260" s="75">
        <v>44879</v>
      </c>
      <c r="AH260" s="75">
        <v>44879</v>
      </c>
      <c r="AI260" s="77">
        <v>44907</v>
      </c>
      <c r="AJ260" s="77">
        <v>44910</v>
      </c>
      <c r="AK260" s="77">
        <v>44910</v>
      </c>
      <c r="AL260" s="135" t="s">
        <v>31</v>
      </c>
      <c r="AM260" s="73">
        <v>90000</v>
      </c>
      <c r="AN260" s="96"/>
      <c r="AO260" s="96"/>
      <c r="AP260" s="73">
        <v>89820</v>
      </c>
      <c r="AQ260" s="44"/>
      <c r="AR260" s="114"/>
      <c r="AS260" s="98"/>
      <c r="AT260" s="98"/>
      <c r="AU260" s="98"/>
      <c r="AV260" s="98"/>
      <c r="AW260" s="98"/>
      <c r="AX260" s="98"/>
      <c r="AY260" s="98"/>
      <c r="AZ260" s="115"/>
    </row>
    <row r="261" spans="1:52" s="19" customFormat="1" ht="12.6" customHeight="1" x14ac:dyDescent="0.2">
      <c r="A261" s="72" t="s">
        <v>143</v>
      </c>
      <c r="B261" s="153" t="s">
        <v>185</v>
      </c>
      <c r="C261" s="40"/>
      <c r="D261" s="40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0"/>
      <c r="R261" s="40"/>
      <c r="S261" s="40"/>
      <c r="T261" s="73">
        <v>11500</v>
      </c>
      <c r="U261" s="41"/>
      <c r="V261" s="145" t="s">
        <v>91</v>
      </c>
      <c r="W261" s="42"/>
      <c r="X261" s="2">
        <v>53.9</v>
      </c>
      <c r="Y261" s="113"/>
      <c r="Z261" s="43"/>
      <c r="AA261" s="40"/>
      <c r="AB261" s="40"/>
      <c r="AC261" s="43"/>
      <c r="AD261" s="43"/>
      <c r="AE261" s="43"/>
      <c r="AF261" s="43"/>
      <c r="AG261" s="75">
        <v>44851</v>
      </c>
      <c r="AH261" s="75">
        <v>44851</v>
      </c>
      <c r="AI261" s="77">
        <v>44884</v>
      </c>
      <c r="AJ261" s="77">
        <v>44890</v>
      </c>
      <c r="AK261" s="77">
        <v>44890</v>
      </c>
      <c r="AL261" s="135" t="s">
        <v>31</v>
      </c>
      <c r="AM261" s="73">
        <v>11500</v>
      </c>
      <c r="AN261" s="96"/>
      <c r="AO261" s="96"/>
      <c r="AP261" s="73">
        <v>11193</v>
      </c>
      <c r="AQ261" s="44"/>
      <c r="AR261" s="114"/>
      <c r="AS261" s="98"/>
      <c r="AT261" s="98"/>
      <c r="AU261" s="98"/>
      <c r="AV261" s="98"/>
      <c r="AW261" s="98"/>
      <c r="AX261" s="98"/>
      <c r="AY261" s="98"/>
      <c r="AZ261" s="115"/>
    </row>
    <row r="262" spans="1:52" s="19" customFormat="1" ht="12.6" customHeight="1" x14ac:dyDescent="0.2">
      <c r="A262" s="72" t="s">
        <v>150</v>
      </c>
      <c r="B262" s="153" t="s">
        <v>188</v>
      </c>
      <c r="C262" s="40"/>
      <c r="D262" s="40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0"/>
      <c r="R262" s="40"/>
      <c r="S262" s="40"/>
      <c r="T262" s="73">
        <v>6000</v>
      </c>
      <c r="U262" s="41"/>
      <c r="V262" s="149" t="s">
        <v>103</v>
      </c>
      <c r="W262" s="42"/>
      <c r="X262" s="2">
        <v>53.9</v>
      </c>
      <c r="Y262" s="113"/>
      <c r="Z262" s="43"/>
      <c r="AA262" s="40"/>
      <c r="AB262" s="40"/>
      <c r="AC262" s="43"/>
      <c r="AD262" s="43"/>
      <c r="AE262" s="43"/>
      <c r="AF262" s="43"/>
      <c r="AG262" s="75">
        <v>44851</v>
      </c>
      <c r="AH262" s="75">
        <v>44851</v>
      </c>
      <c r="AI262" s="77">
        <v>44884</v>
      </c>
      <c r="AJ262" s="77">
        <v>44890</v>
      </c>
      <c r="AK262" s="77">
        <v>44890</v>
      </c>
      <c r="AL262" s="135" t="s">
        <v>31</v>
      </c>
      <c r="AM262" s="73">
        <v>6000</v>
      </c>
      <c r="AN262" s="96"/>
      <c r="AO262" s="96"/>
      <c r="AP262" s="73">
        <v>5988</v>
      </c>
      <c r="AQ262" s="44"/>
      <c r="AR262" s="114"/>
      <c r="AS262" s="98"/>
      <c r="AT262" s="98"/>
      <c r="AU262" s="98"/>
      <c r="AV262" s="98"/>
      <c r="AW262" s="98"/>
      <c r="AX262" s="98"/>
      <c r="AY262" s="98"/>
      <c r="AZ262" s="115"/>
    </row>
    <row r="263" spans="1:52" s="19" customFormat="1" ht="12.6" customHeight="1" x14ac:dyDescent="0.2">
      <c r="A263" s="72" t="s">
        <v>136</v>
      </c>
      <c r="B263" s="153" t="s">
        <v>189</v>
      </c>
      <c r="C263" s="40"/>
      <c r="D263" s="40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0"/>
      <c r="R263" s="40"/>
      <c r="S263" s="40"/>
      <c r="T263" s="73">
        <v>4500</v>
      </c>
      <c r="U263" s="41"/>
      <c r="V263" s="149" t="s">
        <v>103</v>
      </c>
      <c r="W263" s="42"/>
      <c r="X263" s="2">
        <v>53.9</v>
      </c>
      <c r="Y263" s="113"/>
      <c r="Z263" s="43"/>
      <c r="AA263" s="40"/>
      <c r="AB263" s="40"/>
      <c r="AC263" s="43"/>
      <c r="AD263" s="43"/>
      <c r="AE263" s="43"/>
      <c r="AF263" s="43"/>
      <c r="AG263" s="75">
        <v>44851</v>
      </c>
      <c r="AH263" s="75">
        <v>44851</v>
      </c>
      <c r="AI263" s="77">
        <v>44884</v>
      </c>
      <c r="AJ263" s="77">
        <v>44890</v>
      </c>
      <c r="AK263" s="77">
        <v>44890</v>
      </c>
      <c r="AL263" s="135" t="s">
        <v>31</v>
      </c>
      <c r="AM263" s="73">
        <v>4500</v>
      </c>
      <c r="AN263" s="96"/>
      <c r="AO263" s="96"/>
      <c r="AP263" s="73">
        <v>4440</v>
      </c>
      <c r="AQ263" s="44"/>
      <c r="AR263" s="114"/>
      <c r="AS263" s="98"/>
      <c r="AT263" s="98"/>
      <c r="AU263" s="98"/>
      <c r="AV263" s="98"/>
      <c r="AW263" s="98"/>
      <c r="AX263" s="98"/>
      <c r="AY263" s="98"/>
      <c r="AZ263" s="115"/>
    </row>
    <row r="264" spans="1:52" s="19" customFormat="1" ht="12.6" customHeight="1" x14ac:dyDescent="0.2">
      <c r="A264" s="72" t="s">
        <v>210</v>
      </c>
      <c r="B264" s="72" t="s">
        <v>211</v>
      </c>
      <c r="C264" s="40"/>
      <c r="D264" s="40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0"/>
      <c r="R264" s="40"/>
      <c r="S264" s="40"/>
      <c r="T264" s="73">
        <v>30000</v>
      </c>
      <c r="U264" s="41"/>
      <c r="V264" s="149" t="s">
        <v>103</v>
      </c>
      <c r="W264" s="42"/>
      <c r="X264" s="2">
        <v>53.9</v>
      </c>
      <c r="Y264" s="113"/>
      <c r="Z264" s="43"/>
      <c r="AA264" s="40"/>
      <c r="AB264" s="40"/>
      <c r="AC264" s="43"/>
      <c r="AD264" s="43"/>
      <c r="AE264" s="43"/>
      <c r="AF264" s="43"/>
      <c r="AG264" s="75">
        <v>44806</v>
      </c>
      <c r="AH264" s="75">
        <v>44806</v>
      </c>
      <c r="AI264" s="77">
        <v>44852</v>
      </c>
      <c r="AJ264" s="152">
        <v>44858</v>
      </c>
      <c r="AK264" s="152">
        <v>44858</v>
      </c>
      <c r="AL264" s="135" t="s">
        <v>31</v>
      </c>
      <c r="AM264" s="73">
        <v>30000</v>
      </c>
      <c r="AN264" s="96"/>
      <c r="AO264" s="96"/>
      <c r="AP264" s="73">
        <v>29546</v>
      </c>
      <c r="AQ264" s="44"/>
      <c r="AR264" s="114"/>
      <c r="AS264" s="98"/>
      <c r="AT264" s="98"/>
      <c r="AU264" s="98"/>
      <c r="AV264" s="98"/>
      <c r="AW264" s="98"/>
      <c r="AX264" s="98"/>
      <c r="AY264" s="98"/>
      <c r="AZ264" s="115"/>
    </row>
    <row r="265" spans="1:52" s="19" customFormat="1" ht="12.6" customHeight="1" x14ac:dyDescent="0.2">
      <c r="A265" s="72" t="s">
        <v>141</v>
      </c>
      <c r="B265" s="72" t="s">
        <v>130</v>
      </c>
      <c r="C265" s="40"/>
      <c r="D265" s="40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0"/>
      <c r="R265" s="40"/>
      <c r="S265" s="40"/>
      <c r="T265" s="73">
        <v>232300</v>
      </c>
      <c r="U265" s="41"/>
      <c r="V265" s="145" t="s">
        <v>87</v>
      </c>
      <c r="W265" s="42"/>
      <c r="X265" s="2">
        <v>53.9</v>
      </c>
      <c r="Y265" s="113"/>
      <c r="Z265" s="43"/>
      <c r="AA265" s="40"/>
      <c r="AB265" s="40"/>
      <c r="AC265" s="43"/>
      <c r="AD265" s="43"/>
      <c r="AE265" s="43"/>
      <c r="AF265" s="43"/>
      <c r="AG265" s="75">
        <v>44879</v>
      </c>
      <c r="AH265" s="75">
        <v>44879</v>
      </c>
      <c r="AI265" s="77">
        <v>44907</v>
      </c>
      <c r="AJ265" s="77">
        <v>44911</v>
      </c>
      <c r="AK265" s="77">
        <v>44911</v>
      </c>
      <c r="AL265" s="135" t="s">
        <v>31</v>
      </c>
      <c r="AM265" s="73">
        <v>232300</v>
      </c>
      <c r="AN265" s="96"/>
      <c r="AO265" s="96"/>
      <c r="AP265" s="73">
        <v>231155</v>
      </c>
      <c r="AQ265" s="44"/>
      <c r="AR265" s="114"/>
      <c r="AS265" s="98"/>
      <c r="AT265" s="98"/>
      <c r="AU265" s="98"/>
      <c r="AV265" s="98"/>
      <c r="AW265" s="98"/>
      <c r="AX265" s="98"/>
      <c r="AY265" s="98"/>
      <c r="AZ265" s="115"/>
    </row>
    <row r="266" spans="1:52" s="19" customFormat="1" ht="12.6" customHeight="1" x14ac:dyDescent="0.2">
      <c r="A266" s="72" t="s">
        <v>145</v>
      </c>
      <c r="B266" s="72" t="s">
        <v>201</v>
      </c>
      <c r="C266" s="40"/>
      <c r="D266" s="40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0"/>
      <c r="R266" s="40"/>
      <c r="S266" s="40"/>
      <c r="T266" s="73">
        <v>305000</v>
      </c>
      <c r="U266" s="41"/>
      <c r="V266" s="145" t="s">
        <v>102</v>
      </c>
      <c r="W266" s="42"/>
      <c r="X266" s="2">
        <v>53.9</v>
      </c>
      <c r="Y266" s="113"/>
      <c r="Z266" s="43"/>
      <c r="AA266" s="40"/>
      <c r="AB266" s="40"/>
      <c r="AC266" s="43"/>
      <c r="AD266" s="43"/>
      <c r="AE266" s="43"/>
      <c r="AF266" s="43"/>
      <c r="AG266" s="75">
        <v>44809</v>
      </c>
      <c r="AH266" s="75">
        <v>44809</v>
      </c>
      <c r="AI266" s="77">
        <v>44897</v>
      </c>
      <c r="AJ266" s="77">
        <v>44904</v>
      </c>
      <c r="AK266" s="77">
        <v>44904</v>
      </c>
      <c r="AL266" s="135" t="s">
        <v>31</v>
      </c>
      <c r="AM266" s="73">
        <v>305000</v>
      </c>
      <c r="AN266" s="96"/>
      <c r="AO266" s="96"/>
      <c r="AP266" s="73">
        <v>304301</v>
      </c>
      <c r="AQ266" s="44"/>
      <c r="AR266" s="114"/>
      <c r="AS266" s="98"/>
      <c r="AT266" s="98"/>
      <c r="AU266" s="98"/>
      <c r="AV266" s="98"/>
      <c r="AW266" s="98"/>
      <c r="AX266" s="98"/>
      <c r="AY266" s="98"/>
      <c r="AZ266" s="115"/>
    </row>
    <row r="267" spans="1:52" s="19" customFormat="1" ht="12.6" customHeight="1" x14ac:dyDescent="0.2">
      <c r="A267" s="72" t="s">
        <v>145</v>
      </c>
      <c r="B267" s="72" t="s">
        <v>118</v>
      </c>
      <c r="C267" s="40"/>
      <c r="D267" s="40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0"/>
      <c r="R267" s="40"/>
      <c r="S267" s="40"/>
      <c r="T267" s="73">
        <v>55000</v>
      </c>
      <c r="U267" s="41"/>
      <c r="V267" s="145" t="s">
        <v>90</v>
      </c>
      <c r="W267" s="42"/>
      <c r="X267" s="2">
        <v>53.9</v>
      </c>
      <c r="Y267" s="113"/>
      <c r="Z267" s="43"/>
      <c r="AA267" s="40"/>
      <c r="AB267" s="40"/>
      <c r="AC267" s="43"/>
      <c r="AD267" s="43"/>
      <c r="AE267" s="43"/>
      <c r="AF267" s="43"/>
      <c r="AG267" s="75">
        <v>44806</v>
      </c>
      <c r="AH267" s="75">
        <v>44806</v>
      </c>
      <c r="AI267" s="77">
        <v>44848</v>
      </c>
      <c r="AJ267" s="152">
        <v>44855</v>
      </c>
      <c r="AK267" s="152">
        <v>44855</v>
      </c>
      <c r="AL267" s="135" t="s">
        <v>31</v>
      </c>
      <c r="AM267" s="73">
        <v>55000</v>
      </c>
      <c r="AN267" s="96"/>
      <c r="AO267" s="96"/>
      <c r="AP267" s="73">
        <v>54400</v>
      </c>
      <c r="AQ267" s="44"/>
      <c r="AR267" s="114"/>
      <c r="AS267" s="98"/>
      <c r="AT267" s="98"/>
      <c r="AU267" s="98"/>
      <c r="AV267" s="98"/>
      <c r="AW267" s="98"/>
      <c r="AX267" s="98"/>
      <c r="AY267" s="98"/>
      <c r="AZ267" s="115"/>
    </row>
    <row r="268" spans="1:52" s="19" customFormat="1" ht="12.6" customHeight="1" x14ac:dyDescent="0.2">
      <c r="A268" s="72" t="s">
        <v>138</v>
      </c>
      <c r="B268" s="72" t="s">
        <v>197</v>
      </c>
      <c r="C268" s="40"/>
      <c r="D268" s="40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0"/>
      <c r="R268" s="40"/>
      <c r="S268" s="40"/>
      <c r="T268" s="73">
        <v>186900</v>
      </c>
      <c r="U268" s="41"/>
      <c r="V268" s="145" t="s">
        <v>87</v>
      </c>
      <c r="W268" s="42"/>
      <c r="X268" s="2">
        <v>53.9</v>
      </c>
      <c r="Y268" s="113"/>
      <c r="Z268" s="43"/>
      <c r="AA268" s="40"/>
      <c r="AB268" s="40"/>
      <c r="AC268" s="43"/>
      <c r="AD268" s="43"/>
      <c r="AE268" s="43"/>
      <c r="AF268" s="43"/>
      <c r="AG268" s="75">
        <v>44875</v>
      </c>
      <c r="AH268" s="75">
        <v>44875</v>
      </c>
      <c r="AI268" s="77">
        <v>44909</v>
      </c>
      <c r="AJ268" s="77">
        <v>44915</v>
      </c>
      <c r="AK268" s="77">
        <v>44915</v>
      </c>
      <c r="AL268" s="135" t="s">
        <v>31</v>
      </c>
      <c r="AM268" s="73">
        <v>186900</v>
      </c>
      <c r="AN268" s="96"/>
      <c r="AO268" s="96"/>
      <c r="AP268" s="73">
        <v>186023</v>
      </c>
      <c r="AQ268" s="44"/>
      <c r="AR268" s="114"/>
      <c r="AS268" s="98"/>
      <c r="AT268" s="98"/>
      <c r="AU268" s="98"/>
      <c r="AV268" s="98"/>
      <c r="AW268" s="98"/>
      <c r="AX268" s="98"/>
      <c r="AY268" s="98"/>
      <c r="AZ268" s="115"/>
    </row>
    <row r="269" spans="1:52" s="19" customFormat="1" ht="12.6" customHeight="1" x14ac:dyDescent="0.2">
      <c r="A269" s="72" t="s">
        <v>143</v>
      </c>
      <c r="B269" s="72" t="s">
        <v>128</v>
      </c>
      <c r="C269" s="40"/>
      <c r="D269" s="40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0"/>
      <c r="R269" s="40"/>
      <c r="S269" s="40"/>
      <c r="T269" s="73">
        <f>13500+4500+6000+50000</f>
        <v>74000</v>
      </c>
      <c r="U269" s="41"/>
      <c r="V269" s="145" t="s">
        <v>78</v>
      </c>
      <c r="W269" s="42"/>
      <c r="X269" s="2">
        <v>53.9</v>
      </c>
      <c r="Y269" s="113"/>
      <c r="Z269" s="43"/>
      <c r="AA269" s="40"/>
      <c r="AB269" s="40"/>
      <c r="AC269" s="43"/>
      <c r="AD269" s="43"/>
      <c r="AE269" s="43"/>
      <c r="AF269" s="43"/>
      <c r="AG269" s="142">
        <v>44645</v>
      </c>
      <c r="AH269" s="142">
        <v>44645</v>
      </c>
      <c r="AI269" s="77">
        <v>44721</v>
      </c>
      <c r="AJ269" s="79">
        <v>44728</v>
      </c>
      <c r="AK269" s="79">
        <v>44728</v>
      </c>
      <c r="AL269" s="135" t="s">
        <v>31</v>
      </c>
      <c r="AM269" s="73">
        <f>13500+4500+6000+50000</f>
        <v>74000</v>
      </c>
      <c r="AN269" s="96"/>
      <c r="AO269" s="96"/>
      <c r="AP269" s="73">
        <v>71520</v>
      </c>
      <c r="AQ269" s="44"/>
      <c r="AR269" s="114"/>
      <c r="AS269" s="98"/>
      <c r="AT269" s="98"/>
      <c r="AU269" s="98"/>
      <c r="AV269" s="98"/>
      <c r="AW269" s="98"/>
      <c r="AX269" s="98"/>
      <c r="AY269" s="98"/>
      <c r="AZ269" s="115"/>
    </row>
    <row r="270" spans="1:52" s="19" customFormat="1" ht="12.6" customHeight="1" x14ac:dyDescent="0.2">
      <c r="A270" s="72" t="s">
        <v>137</v>
      </c>
      <c r="B270" s="72" t="s">
        <v>112</v>
      </c>
      <c r="C270" s="40"/>
      <c r="D270" s="40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0"/>
      <c r="R270" s="40"/>
      <c r="S270" s="40"/>
      <c r="T270" s="73">
        <v>8000</v>
      </c>
      <c r="U270" s="41"/>
      <c r="V270" s="145" t="s">
        <v>103</v>
      </c>
      <c r="W270" s="42"/>
      <c r="X270" s="2">
        <v>53.9</v>
      </c>
      <c r="Y270" s="113"/>
      <c r="Z270" s="43"/>
      <c r="AA270" s="40"/>
      <c r="AB270" s="40"/>
      <c r="AC270" s="43"/>
      <c r="AD270" s="43"/>
      <c r="AE270" s="43"/>
      <c r="AF270" s="43"/>
      <c r="AG270" s="75">
        <v>44812</v>
      </c>
      <c r="AH270" s="75">
        <v>44812</v>
      </c>
      <c r="AI270" s="77">
        <v>44901</v>
      </c>
      <c r="AJ270" s="77">
        <v>44908</v>
      </c>
      <c r="AK270" s="77">
        <v>44908</v>
      </c>
      <c r="AL270" s="135" t="s">
        <v>31</v>
      </c>
      <c r="AM270" s="73">
        <v>8000</v>
      </c>
      <c r="AN270" s="96"/>
      <c r="AO270" s="96"/>
      <c r="AP270" s="73">
        <v>7816</v>
      </c>
      <c r="AQ270" s="44"/>
      <c r="AR270" s="114"/>
      <c r="AS270" s="98"/>
      <c r="AT270" s="98"/>
      <c r="AU270" s="98"/>
      <c r="AV270" s="98"/>
      <c r="AW270" s="98"/>
      <c r="AX270" s="98"/>
      <c r="AY270" s="98"/>
      <c r="AZ270" s="115"/>
    </row>
    <row r="271" spans="1:52" s="19" customFormat="1" ht="12.6" customHeight="1" x14ac:dyDescent="0.2">
      <c r="A271" s="72" t="s">
        <v>142</v>
      </c>
      <c r="B271" s="72" t="s">
        <v>187</v>
      </c>
      <c r="C271" s="40"/>
      <c r="D271" s="40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0"/>
      <c r="R271" s="40"/>
      <c r="S271" s="40"/>
      <c r="T271" s="73">
        <v>106000</v>
      </c>
      <c r="U271" s="41"/>
      <c r="V271" s="149" t="s">
        <v>212</v>
      </c>
      <c r="W271" s="42"/>
      <c r="X271" s="2">
        <v>53.9</v>
      </c>
      <c r="Y271" s="113"/>
      <c r="Z271" s="43"/>
      <c r="AA271" s="40"/>
      <c r="AB271" s="40"/>
      <c r="AC271" s="43"/>
      <c r="AD271" s="43"/>
      <c r="AE271" s="43"/>
      <c r="AF271" s="43"/>
      <c r="AG271" s="75">
        <v>44812</v>
      </c>
      <c r="AH271" s="75">
        <v>44812</v>
      </c>
      <c r="AI271" s="77">
        <v>44901</v>
      </c>
      <c r="AJ271" s="77">
        <v>44908</v>
      </c>
      <c r="AK271" s="77">
        <v>44908</v>
      </c>
      <c r="AL271" s="135" t="s">
        <v>31</v>
      </c>
      <c r="AM271" s="73">
        <v>106000</v>
      </c>
      <c r="AN271" s="96"/>
      <c r="AO271" s="96"/>
      <c r="AP271" s="73">
        <v>105989</v>
      </c>
      <c r="AQ271" s="44"/>
      <c r="AR271" s="114"/>
      <c r="AS271" s="98"/>
      <c r="AT271" s="98"/>
      <c r="AU271" s="98"/>
      <c r="AV271" s="98"/>
      <c r="AW271" s="98"/>
      <c r="AX271" s="98"/>
      <c r="AY271" s="98"/>
      <c r="AZ271" s="115"/>
    </row>
    <row r="272" spans="1:52" s="19" customFormat="1" ht="12.6" customHeight="1" x14ac:dyDescent="0.2">
      <c r="A272" s="72" t="s">
        <v>150</v>
      </c>
      <c r="B272" s="72" t="s">
        <v>188</v>
      </c>
      <c r="C272" s="40"/>
      <c r="D272" s="40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0"/>
      <c r="R272" s="40"/>
      <c r="S272" s="40"/>
      <c r="T272" s="73">
        <v>34500</v>
      </c>
      <c r="U272" s="41"/>
      <c r="V272" s="149" t="s">
        <v>212</v>
      </c>
      <c r="W272" s="42"/>
      <c r="X272" s="2">
        <v>53.9</v>
      </c>
      <c r="Y272" s="113"/>
      <c r="Z272" s="43"/>
      <c r="AA272" s="40"/>
      <c r="AB272" s="40"/>
      <c r="AC272" s="43"/>
      <c r="AD272" s="43"/>
      <c r="AE272" s="43"/>
      <c r="AF272" s="43"/>
      <c r="AG272" s="75">
        <v>44812</v>
      </c>
      <c r="AH272" s="75">
        <v>44812</v>
      </c>
      <c r="AI272" s="77">
        <v>44901</v>
      </c>
      <c r="AJ272" s="77">
        <v>44908</v>
      </c>
      <c r="AK272" s="77">
        <v>44908</v>
      </c>
      <c r="AL272" s="135" t="s">
        <v>31</v>
      </c>
      <c r="AM272" s="73">
        <v>34500</v>
      </c>
      <c r="AN272" s="96"/>
      <c r="AO272" s="96"/>
      <c r="AP272" s="73">
        <v>34167</v>
      </c>
      <c r="AQ272" s="44"/>
      <c r="AR272" s="114"/>
      <c r="AS272" s="98"/>
      <c r="AT272" s="98"/>
      <c r="AU272" s="98"/>
      <c r="AV272" s="98"/>
      <c r="AW272" s="98"/>
      <c r="AX272" s="98"/>
      <c r="AY272" s="98"/>
      <c r="AZ272" s="115"/>
    </row>
    <row r="273" spans="1:52" s="19" customFormat="1" ht="12.6" customHeight="1" x14ac:dyDescent="0.2">
      <c r="A273" s="72" t="s">
        <v>153</v>
      </c>
      <c r="B273" s="72" t="s">
        <v>155</v>
      </c>
      <c r="C273" s="40"/>
      <c r="D273" s="40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0"/>
      <c r="R273" s="40"/>
      <c r="S273" s="40"/>
      <c r="T273" s="73">
        <v>50000</v>
      </c>
      <c r="U273" s="41"/>
      <c r="V273" s="149" t="s">
        <v>212</v>
      </c>
      <c r="W273" s="42"/>
      <c r="X273" s="2">
        <v>53.9</v>
      </c>
      <c r="Y273" s="113"/>
      <c r="Z273" s="43"/>
      <c r="AA273" s="40"/>
      <c r="AB273" s="40"/>
      <c r="AC273" s="43"/>
      <c r="AD273" s="43"/>
      <c r="AE273" s="43"/>
      <c r="AF273" s="43"/>
      <c r="AG273" s="75">
        <v>44733</v>
      </c>
      <c r="AH273" s="75">
        <v>44733</v>
      </c>
      <c r="AI273" s="77">
        <v>44833</v>
      </c>
      <c r="AJ273" s="79">
        <v>44839</v>
      </c>
      <c r="AK273" s="79">
        <v>44839</v>
      </c>
      <c r="AL273" s="135" t="s">
        <v>31</v>
      </c>
      <c r="AM273" s="73">
        <v>50000</v>
      </c>
      <c r="AN273" s="96"/>
      <c r="AO273" s="96"/>
      <c r="AP273" s="73">
        <v>49390</v>
      </c>
      <c r="AQ273" s="44"/>
      <c r="AR273" s="114"/>
      <c r="AS273" s="98"/>
      <c r="AT273" s="98"/>
      <c r="AU273" s="98"/>
      <c r="AV273" s="98"/>
      <c r="AW273" s="98"/>
      <c r="AX273" s="98"/>
      <c r="AY273" s="98"/>
      <c r="AZ273" s="115"/>
    </row>
    <row r="274" spans="1:52" s="19" customFormat="1" ht="12.6" customHeight="1" x14ac:dyDescent="0.2">
      <c r="A274" s="72" t="s">
        <v>137</v>
      </c>
      <c r="B274" s="72" t="s">
        <v>112</v>
      </c>
      <c r="C274" s="40"/>
      <c r="D274" s="40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0"/>
      <c r="R274" s="40"/>
      <c r="S274" s="40"/>
      <c r="T274" s="73">
        <v>15000</v>
      </c>
      <c r="U274" s="41"/>
      <c r="V274" s="145" t="s">
        <v>94</v>
      </c>
      <c r="W274" s="42"/>
      <c r="X274" s="2">
        <v>53.9</v>
      </c>
      <c r="Y274" s="113"/>
      <c r="Z274" s="43"/>
      <c r="AA274" s="40"/>
      <c r="AB274" s="40"/>
      <c r="AC274" s="43"/>
      <c r="AD274" s="43"/>
      <c r="AE274" s="43"/>
      <c r="AF274" s="43"/>
      <c r="AG274" s="75">
        <v>44825</v>
      </c>
      <c r="AH274" s="75">
        <v>44825</v>
      </c>
      <c r="AI274" s="77">
        <v>44911</v>
      </c>
      <c r="AJ274" s="148">
        <v>44915</v>
      </c>
      <c r="AK274" s="148">
        <v>44915</v>
      </c>
      <c r="AL274" s="135" t="s">
        <v>31</v>
      </c>
      <c r="AM274" s="73">
        <v>15000</v>
      </c>
      <c r="AN274" s="96"/>
      <c r="AO274" s="96"/>
      <c r="AP274" s="73">
        <v>14741</v>
      </c>
      <c r="AQ274" s="44"/>
      <c r="AR274" s="114"/>
      <c r="AS274" s="98"/>
      <c r="AT274" s="98"/>
      <c r="AU274" s="98"/>
      <c r="AV274" s="98"/>
      <c r="AW274" s="98"/>
      <c r="AX274" s="98"/>
      <c r="AY274" s="98"/>
      <c r="AZ274" s="115"/>
    </row>
    <row r="275" spans="1:52" s="19" customFormat="1" ht="12.6" customHeight="1" x14ac:dyDescent="0.2">
      <c r="A275" s="72" t="s">
        <v>137</v>
      </c>
      <c r="B275" s="72" t="s">
        <v>112</v>
      </c>
      <c r="C275" s="40"/>
      <c r="D275" s="40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0"/>
      <c r="R275" s="40"/>
      <c r="S275" s="40"/>
      <c r="T275" s="73">
        <v>44000</v>
      </c>
      <c r="U275" s="41"/>
      <c r="V275" s="149" t="s">
        <v>96</v>
      </c>
      <c r="W275" s="42"/>
      <c r="X275" s="2">
        <v>53.9</v>
      </c>
      <c r="Y275" s="113"/>
      <c r="Z275" s="43"/>
      <c r="AA275" s="40"/>
      <c r="AB275" s="40"/>
      <c r="AC275" s="43"/>
      <c r="AD275" s="43"/>
      <c r="AE275" s="43"/>
      <c r="AF275" s="43"/>
      <c r="AG275" s="75">
        <v>44825</v>
      </c>
      <c r="AH275" s="75">
        <v>44825</v>
      </c>
      <c r="AI275" s="77">
        <v>44911</v>
      </c>
      <c r="AJ275" s="148">
        <v>44915</v>
      </c>
      <c r="AK275" s="148">
        <v>44915</v>
      </c>
      <c r="AL275" s="135" t="s">
        <v>31</v>
      </c>
      <c r="AM275" s="73">
        <v>44000</v>
      </c>
      <c r="AN275" s="96"/>
      <c r="AO275" s="96"/>
      <c r="AP275" s="73">
        <v>43310</v>
      </c>
      <c r="AQ275" s="44"/>
      <c r="AR275" s="114"/>
      <c r="AS275" s="98"/>
      <c r="AT275" s="98"/>
      <c r="AU275" s="98"/>
      <c r="AV275" s="98"/>
      <c r="AW275" s="98"/>
      <c r="AX275" s="98"/>
      <c r="AY275" s="98"/>
      <c r="AZ275" s="115"/>
    </row>
    <row r="276" spans="1:52" s="19" customFormat="1" ht="12.6" customHeight="1" x14ac:dyDescent="0.2">
      <c r="A276" s="72" t="s">
        <v>137</v>
      </c>
      <c r="B276" s="72" t="s">
        <v>112</v>
      </c>
      <c r="C276" s="40"/>
      <c r="D276" s="40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0"/>
      <c r="R276" s="40"/>
      <c r="S276" s="40"/>
      <c r="T276" s="73">
        <v>30000</v>
      </c>
      <c r="U276" s="41"/>
      <c r="V276" s="149" t="s">
        <v>96</v>
      </c>
      <c r="W276" s="42"/>
      <c r="X276" s="2">
        <v>53.9</v>
      </c>
      <c r="Y276" s="113"/>
      <c r="Z276" s="43"/>
      <c r="AA276" s="40"/>
      <c r="AB276" s="40"/>
      <c r="AC276" s="43"/>
      <c r="AD276" s="43"/>
      <c r="AE276" s="43"/>
      <c r="AF276" s="43"/>
      <c r="AG276" s="75">
        <v>44825</v>
      </c>
      <c r="AH276" s="75">
        <v>44825</v>
      </c>
      <c r="AI276" s="77">
        <v>44907</v>
      </c>
      <c r="AJ276" s="148">
        <v>44914</v>
      </c>
      <c r="AK276" s="148">
        <v>44914</v>
      </c>
      <c r="AL276" s="135" t="s">
        <v>31</v>
      </c>
      <c r="AM276" s="73">
        <v>30000</v>
      </c>
      <c r="AN276" s="96"/>
      <c r="AO276" s="96"/>
      <c r="AP276" s="73">
        <v>29252</v>
      </c>
      <c r="AQ276" s="44"/>
      <c r="AR276" s="114"/>
      <c r="AS276" s="98"/>
      <c r="AT276" s="98"/>
      <c r="AU276" s="98"/>
      <c r="AV276" s="98"/>
      <c r="AW276" s="98"/>
      <c r="AX276" s="98"/>
      <c r="AY276" s="98"/>
      <c r="AZ276" s="115"/>
    </row>
    <row r="277" spans="1:52" s="19" customFormat="1" ht="12.6" customHeight="1" x14ac:dyDescent="0.2">
      <c r="A277" s="72" t="s">
        <v>137</v>
      </c>
      <c r="B277" s="72" t="s">
        <v>112</v>
      </c>
      <c r="C277" s="40"/>
      <c r="D277" s="40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0"/>
      <c r="R277" s="40"/>
      <c r="S277" s="40"/>
      <c r="T277" s="73">
        <v>10000</v>
      </c>
      <c r="U277" s="41"/>
      <c r="V277" s="149" t="s">
        <v>85</v>
      </c>
      <c r="W277" s="42"/>
      <c r="X277" s="2">
        <v>53.9</v>
      </c>
      <c r="Y277" s="113"/>
      <c r="Z277" s="43"/>
      <c r="AA277" s="40"/>
      <c r="AB277" s="40"/>
      <c r="AC277" s="43"/>
      <c r="AD277" s="43"/>
      <c r="AE277" s="43"/>
      <c r="AF277" s="43"/>
      <c r="AG277" s="75">
        <v>44825</v>
      </c>
      <c r="AH277" s="75">
        <v>44825</v>
      </c>
      <c r="AI277" s="77">
        <v>44907</v>
      </c>
      <c r="AJ277" s="148">
        <v>44914</v>
      </c>
      <c r="AK277" s="148">
        <v>44914</v>
      </c>
      <c r="AL277" s="135" t="s">
        <v>31</v>
      </c>
      <c r="AM277" s="73">
        <v>10000</v>
      </c>
      <c r="AN277" s="96"/>
      <c r="AO277" s="96"/>
      <c r="AP277" s="73">
        <v>9770</v>
      </c>
      <c r="AQ277" s="44"/>
      <c r="AR277" s="114"/>
      <c r="AS277" s="98"/>
      <c r="AT277" s="98"/>
      <c r="AU277" s="98"/>
      <c r="AV277" s="98"/>
      <c r="AW277" s="98"/>
      <c r="AX277" s="98"/>
      <c r="AY277" s="98"/>
      <c r="AZ277" s="115"/>
    </row>
    <row r="278" spans="1:52" s="19" customFormat="1" ht="12.6" customHeight="1" x14ac:dyDescent="0.2">
      <c r="A278" s="72" t="s">
        <v>138</v>
      </c>
      <c r="B278" s="72" t="s">
        <v>197</v>
      </c>
      <c r="C278" s="40"/>
      <c r="D278" s="40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0"/>
      <c r="R278" s="40"/>
      <c r="S278" s="40"/>
      <c r="T278" s="73">
        <v>50000</v>
      </c>
      <c r="U278" s="41"/>
      <c r="V278" s="149" t="s">
        <v>85</v>
      </c>
      <c r="W278" s="42"/>
      <c r="X278" s="2">
        <v>53.9</v>
      </c>
      <c r="Y278" s="113"/>
      <c r="Z278" s="43"/>
      <c r="AA278" s="40"/>
      <c r="AB278" s="40"/>
      <c r="AC278" s="43"/>
      <c r="AD278" s="43"/>
      <c r="AE278" s="43"/>
      <c r="AF278" s="43"/>
      <c r="AG278" s="75">
        <v>44858</v>
      </c>
      <c r="AH278" s="75">
        <v>44858</v>
      </c>
      <c r="AI278" s="77">
        <v>44897</v>
      </c>
      <c r="AJ278" s="77">
        <v>44901</v>
      </c>
      <c r="AK278" s="77">
        <v>44901</v>
      </c>
      <c r="AL278" s="135" t="s">
        <v>31</v>
      </c>
      <c r="AM278" s="73">
        <v>50000</v>
      </c>
      <c r="AN278" s="96"/>
      <c r="AO278" s="96"/>
      <c r="AP278" s="73">
        <v>49318</v>
      </c>
      <c r="AQ278" s="44"/>
      <c r="AR278" s="114"/>
      <c r="AS278" s="98"/>
      <c r="AT278" s="98"/>
      <c r="AU278" s="98"/>
      <c r="AV278" s="98"/>
      <c r="AW278" s="98"/>
      <c r="AX278" s="98"/>
      <c r="AY278" s="98"/>
      <c r="AZ278" s="115"/>
    </row>
    <row r="279" spans="1:52" s="19" customFormat="1" ht="12.6" customHeight="1" x14ac:dyDescent="0.2">
      <c r="A279" s="72" t="s">
        <v>143</v>
      </c>
      <c r="B279" s="72" t="s">
        <v>185</v>
      </c>
      <c r="C279" s="40"/>
      <c r="D279" s="40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0"/>
      <c r="R279" s="40"/>
      <c r="S279" s="40"/>
      <c r="T279" s="73">
        <v>70000</v>
      </c>
      <c r="U279" s="41"/>
      <c r="V279" s="149" t="s">
        <v>93</v>
      </c>
      <c r="W279" s="42"/>
      <c r="X279" s="2">
        <v>53.9</v>
      </c>
      <c r="Y279" s="113"/>
      <c r="Z279" s="43"/>
      <c r="AA279" s="40"/>
      <c r="AB279" s="40"/>
      <c r="AC279" s="43"/>
      <c r="AD279" s="43"/>
      <c r="AE279" s="43"/>
      <c r="AF279" s="43"/>
      <c r="AG279" s="75">
        <v>44858</v>
      </c>
      <c r="AH279" s="75">
        <v>44858</v>
      </c>
      <c r="AI279" s="77">
        <v>44897</v>
      </c>
      <c r="AJ279" s="77">
        <v>44901</v>
      </c>
      <c r="AK279" s="77">
        <v>44901</v>
      </c>
      <c r="AL279" s="135" t="s">
        <v>31</v>
      </c>
      <c r="AM279" s="73">
        <v>70000</v>
      </c>
      <c r="AN279" s="96"/>
      <c r="AO279" s="96"/>
      <c r="AP279" s="73">
        <v>69268</v>
      </c>
      <c r="AQ279" s="44"/>
      <c r="AR279" s="114"/>
      <c r="AS279" s="98"/>
      <c r="AT279" s="98"/>
      <c r="AU279" s="98"/>
      <c r="AV279" s="98"/>
      <c r="AW279" s="98"/>
      <c r="AX279" s="98"/>
      <c r="AY279" s="98"/>
      <c r="AZ279" s="115"/>
    </row>
    <row r="280" spans="1:52" s="19" customFormat="1" ht="12.6" customHeight="1" x14ac:dyDescent="0.2">
      <c r="A280" s="72" t="s">
        <v>145</v>
      </c>
      <c r="B280" s="72" t="s">
        <v>201</v>
      </c>
      <c r="C280" s="40"/>
      <c r="D280" s="40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0"/>
      <c r="R280" s="40"/>
      <c r="S280" s="40"/>
      <c r="T280" s="73">
        <v>70000</v>
      </c>
      <c r="U280" s="41"/>
      <c r="V280" s="149" t="s">
        <v>93</v>
      </c>
      <c r="W280" s="42"/>
      <c r="X280" s="2">
        <v>53.9</v>
      </c>
      <c r="Y280" s="113"/>
      <c r="Z280" s="43"/>
      <c r="AA280" s="40"/>
      <c r="AB280" s="40"/>
      <c r="AC280" s="43"/>
      <c r="AD280" s="43"/>
      <c r="AE280" s="43"/>
      <c r="AF280" s="43"/>
      <c r="AG280" s="75">
        <v>44844</v>
      </c>
      <c r="AH280" s="75">
        <v>44844</v>
      </c>
      <c r="AI280" s="77">
        <v>44897</v>
      </c>
      <c r="AJ280" s="77">
        <v>44904</v>
      </c>
      <c r="AK280" s="77">
        <v>44904</v>
      </c>
      <c r="AL280" s="135" t="s">
        <v>31</v>
      </c>
      <c r="AM280" s="73">
        <v>70000</v>
      </c>
      <c r="AN280" s="96"/>
      <c r="AO280" s="96"/>
      <c r="AP280" s="73">
        <v>68960</v>
      </c>
      <c r="AQ280" s="44"/>
      <c r="AR280" s="114"/>
      <c r="AS280" s="98"/>
      <c r="AT280" s="98"/>
      <c r="AU280" s="98"/>
      <c r="AV280" s="98"/>
      <c r="AW280" s="98"/>
      <c r="AX280" s="98"/>
      <c r="AY280" s="98"/>
      <c r="AZ280" s="115"/>
    </row>
    <row r="281" spans="1:52" s="19" customFormat="1" ht="12.6" customHeight="1" x14ac:dyDescent="0.2">
      <c r="A281" s="72" t="s">
        <v>147</v>
      </c>
      <c r="B281" s="72" t="s">
        <v>184</v>
      </c>
      <c r="C281" s="40"/>
      <c r="D281" s="40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0"/>
      <c r="R281" s="40"/>
      <c r="S281" s="40"/>
      <c r="T281" s="73">
        <v>5000</v>
      </c>
      <c r="U281" s="41"/>
      <c r="V281" s="147" t="s">
        <v>80</v>
      </c>
      <c r="W281" s="42"/>
      <c r="X281" s="2">
        <v>53.9</v>
      </c>
      <c r="Y281" s="113"/>
      <c r="Z281" s="43"/>
      <c r="AA281" s="40"/>
      <c r="AB281" s="40"/>
      <c r="AC281" s="43"/>
      <c r="AD281" s="43"/>
      <c r="AE281" s="43"/>
      <c r="AF281" s="43"/>
      <c r="AG281" s="75">
        <v>44833</v>
      </c>
      <c r="AH281" s="75">
        <v>44833</v>
      </c>
      <c r="AI281" s="77">
        <v>44901</v>
      </c>
      <c r="AJ281" s="77">
        <v>44908</v>
      </c>
      <c r="AK281" s="77">
        <v>44908</v>
      </c>
      <c r="AL281" s="135" t="s">
        <v>31</v>
      </c>
      <c r="AM281" s="73">
        <v>5000</v>
      </c>
      <c r="AN281" s="96"/>
      <c r="AO281" s="96"/>
      <c r="AP281" s="73">
        <v>4900</v>
      </c>
      <c r="AQ281" s="44"/>
      <c r="AR281" s="114"/>
      <c r="AS281" s="98"/>
      <c r="AT281" s="98"/>
      <c r="AU281" s="98"/>
      <c r="AV281" s="98"/>
      <c r="AW281" s="98"/>
      <c r="AX281" s="98"/>
      <c r="AY281" s="98"/>
      <c r="AZ281" s="115"/>
    </row>
    <row r="282" spans="1:52" s="19" customFormat="1" ht="12.6" customHeight="1" x14ac:dyDescent="0.2">
      <c r="A282" s="72" t="s">
        <v>144</v>
      </c>
      <c r="B282" s="72" t="s">
        <v>213</v>
      </c>
      <c r="C282" s="40"/>
      <c r="D282" s="40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0"/>
      <c r="R282" s="40"/>
      <c r="S282" s="40"/>
      <c r="T282" s="73">
        <v>300000</v>
      </c>
      <c r="U282" s="41"/>
      <c r="V282" s="147" t="s">
        <v>104</v>
      </c>
      <c r="W282" s="42"/>
      <c r="X282" s="2">
        <v>53.9</v>
      </c>
      <c r="Y282" s="113"/>
      <c r="Z282" s="43"/>
      <c r="AA282" s="40"/>
      <c r="AB282" s="40"/>
      <c r="AC282" s="43"/>
      <c r="AD282" s="43"/>
      <c r="AE282" s="43"/>
      <c r="AF282" s="43"/>
      <c r="AG282" s="75">
        <v>44832</v>
      </c>
      <c r="AH282" s="75">
        <v>44832</v>
      </c>
      <c r="AI282" s="77">
        <v>44881</v>
      </c>
      <c r="AJ282" s="77">
        <v>44887</v>
      </c>
      <c r="AK282" s="77">
        <v>44887</v>
      </c>
      <c r="AL282" s="135" t="s">
        <v>31</v>
      </c>
      <c r="AM282" s="73">
        <v>300000</v>
      </c>
      <c r="AN282" s="96"/>
      <c r="AO282" s="96"/>
      <c r="AP282" s="73">
        <v>298824</v>
      </c>
      <c r="AQ282" s="44"/>
      <c r="AR282" s="114"/>
      <c r="AS282" s="98"/>
      <c r="AT282" s="98"/>
      <c r="AU282" s="98"/>
      <c r="AV282" s="98"/>
      <c r="AW282" s="98"/>
      <c r="AX282" s="98"/>
      <c r="AY282" s="98"/>
      <c r="AZ282" s="115"/>
    </row>
    <row r="283" spans="1:52" s="19" customFormat="1" ht="12.6" customHeight="1" x14ac:dyDescent="0.2">
      <c r="A283" s="72" t="s">
        <v>143</v>
      </c>
      <c r="B283" s="72" t="s">
        <v>117</v>
      </c>
      <c r="C283" s="40"/>
      <c r="D283" s="40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0"/>
      <c r="R283" s="40"/>
      <c r="S283" s="40"/>
      <c r="T283" s="73">
        <v>112500</v>
      </c>
      <c r="U283" s="41"/>
      <c r="V283" s="145" t="s">
        <v>78</v>
      </c>
      <c r="W283" s="42"/>
      <c r="X283" s="2">
        <v>53.9</v>
      </c>
      <c r="Y283" s="113"/>
      <c r="Z283" s="43"/>
      <c r="AA283" s="40"/>
      <c r="AB283" s="40"/>
      <c r="AC283" s="43"/>
      <c r="AD283" s="43"/>
      <c r="AE283" s="43"/>
      <c r="AF283" s="43"/>
      <c r="AG283" s="75">
        <v>44806</v>
      </c>
      <c r="AH283" s="75">
        <v>44806</v>
      </c>
      <c r="AI283" s="77">
        <v>44874</v>
      </c>
      <c r="AJ283" s="152">
        <v>44881</v>
      </c>
      <c r="AK283" s="152">
        <v>44881</v>
      </c>
      <c r="AL283" s="135" t="s">
        <v>31</v>
      </c>
      <c r="AM283" s="73">
        <v>112500</v>
      </c>
      <c r="AN283" s="96"/>
      <c r="AO283" s="96"/>
      <c r="AP283" s="73">
        <v>111746.5</v>
      </c>
      <c r="AQ283" s="44"/>
      <c r="AR283" s="114"/>
      <c r="AS283" s="98"/>
      <c r="AT283" s="98"/>
      <c r="AU283" s="98"/>
      <c r="AV283" s="98"/>
      <c r="AW283" s="98"/>
      <c r="AX283" s="98"/>
      <c r="AY283" s="98"/>
      <c r="AZ283" s="115"/>
    </row>
    <row r="284" spans="1:52" s="19" customFormat="1" ht="12.6" customHeight="1" x14ac:dyDescent="0.2">
      <c r="A284" s="72" t="s">
        <v>137</v>
      </c>
      <c r="B284" s="72" t="s">
        <v>112</v>
      </c>
      <c r="C284" s="40"/>
      <c r="D284" s="40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0"/>
      <c r="R284" s="40"/>
      <c r="S284" s="40"/>
      <c r="T284" s="73">
        <v>24000</v>
      </c>
      <c r="U284" s="41"/>
      <c r="V284" s="149" t="s">
        <v>91</v>
      </c>
      <c r="W284" s="42"/>
      <c r="X284" s="2">
        <v>53.9</v>
      </c>
      <c r="Y284" s="113"/>
      <c r="Z284" s="43"/>
      <c r="AA284" s="40"/>
      <c r="AB284" s="40"/>
      <c r="AC284" s="43"/>
      <c r="AD284" s="43"/>
      <c r="AE284" s="43"/>
      <c r="AF284" s="43"/>
      <c r="AG284" s="75">
        <v>44806</v>
      </c>
      <c r="AH284" s="75">
        <v>44806</v>
      </c>
      <c r="AI284" s="77">
        <v>44874</v>
      </c>
      <c r="AJ284" s="152">
        <v>44881</v>
      </c>
      <c r="AK284" s="152">
        <v>44881</v>
      </c>
      <c r="AL284" s="135" t="s">
        <v>31</v>
      </c>
      <c r="AM284" s="73">
        <v>24000</v>
      </c>
      <c r="AN284" s="96"/>
      <c r="AO284" s="96"/>
      <c r="AP284" s="73">
        <v>23830.5</v>
      </c>
      <c r="AQ284" s="44"/>
      <c r="AR284" s="114"/>
      <c r="AS284" s="98"/>
      <c r="AT284" s="98"/>
      <c r="AU284" s="98"/>
      <c r="AV284" s="98"/>
      <c r="AW284" s="98"/>
      <c r="AX284" s="98"/>
      <c r="AY284" s="98"/>
      <c r="AZ284" s="115"/>
    </row>
    <row r="285" spans="1:52" s="19" customFormat="1" ht="12.6" customHeight="1" x14ac:dyDescent="0.2">
      <c r="A285" s="155" t="s">
        <v>151</v>
      </c>
      <c r="B285" s="88" t="s">
        <v>123</v>
      </c>
      <c r="C285" s="40"/>
      <c r="D285" s="40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0"/>
      <c r="R285" s="40"/>
      <c r="S285" s="40"/>
      <c r="T285" s="104">
        <v>12600</v>
      </c>
      <c r="U285" s="126"/>
      <c r="V285" s="88" t="s">
        <v>107</v>
      </c>
      <c r="W285" s="42"/>
      <c r="X285" s="2">
        <v>53.5</v>
      </c>
      <c r="Y285" s="113"/>
      <c r="Z285" s="43"/>
      <c r="AA285" s="40"/>
      <c r="AB285" s="40"/>
      <c r="AC285" s="43"/>
      <c r="AD285" s="43"/>
      <c r="AE285" s="43"/>
      <c r="AF285" s="43"/>
      <c r="AG285" s="137">
        <v>44774</v>
      </c>
      <c r="AH285" s="137">
        <v>44774</v>
      </c>
      <c r="AI285" s="81"/>
      <c r="AJ285" s="81"/>
      <c r="AK285" s="81"/>
      <c r="AL285" s="135" t="s">
        <v>31</v>
      </c>
      <c r="AM285" s="104">
        <v>12600</v>
      </c>
      <c r="AN285" s="96"/>
      <c r="AO285" s="96"/>
      <c r="AP285" s="104">
        <v>12600</v>
      </c>
      <c r="AQ285" s="44"/>
      <c r="AR285" s="114"/>
      <c r="AS285" s="98"/>
      <c r="AT285" s="98"/>
      <c r="AU285" s="98"/>
      <c r="AV285" s="98"/>
      <c r="AW285" s="98"/>
      <c r="AX285" s="98"/>
      <c r="AY285" s="98"/>
      <c r="AZ285" s="115"/>
    </row>
    <row r="286" spans="1:52" s="19" customFormat="1" ht="12.6" customHeight="1" x14ac:dyDescent="0.2">
      <c r="A286" s="155" t="s">
        <v>151</v>
      </c>
      <c r="B286" s="88" t="s">
        <v>123</v>
      </c>
      <c r="C286" s="40"/>
      <c r="D286" s="40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0"/>
      <c r="R286" s="40"/>
      <c r="S286" s="40"/>
      <c r="T286" s="104">
        <v>12600</v>
      </c>
      <c r="U286" s="126"/>
      <c r="V286" s="88" t="s">
        <v>107</v>
      </c>
      <c r="W286" s="42"/>
      <c r="X286" s="2">
        <v>53.5</v>
      </c>
      <c r="Y286" s="113"/>
      <c r="Z286" s="43"/>
      <c r="AA286" s="40"/>
      <c r="AB286" s="40"/>
      <c r="AC286" s="43"/>
      <c r="AD286" s="43"/>
      <c r="AE286" s="43"/>
      <c r="AF286" s="43"/>
      <c r="AG286" s="137">
        <v>44835</v>
      </c>
      <c r="AH286" s="137">
        <v>44835</v>
      </c>
      <c r="AI286" s="81"/>
      <c r="AJ286" s="81"/>
      <c r="AK286" s="81"/>
      <c r="AL286" s="135" t="s">
        <v>31</v>
      </c>
      <c r="AM286" s="104">
        <v>12600</v>
      </c>
      <c r="AN286" s="96"/>
      <c r="AO286" s="96"/>
      <c r="AP286" s="104">
        <v>12600</v>
      </c>
      <c r="AQ286" s="44"/>
      <c r="AR286" s="114"/>
      <c r="AS286" s="98"/>
      <c r="AT286" s="98"/>
      <c r="AU286" s="98"/>
      <c r="AV286" s="98"/>
      <c r="AW286" s="98"/>
      <c r="AX286" s="98"/>
      <c r="AY286" s="98"/>
      <c r="AZ286" s="115"/>
    </row>
    <row r="287" spans="1:52" ht="12.75" x14ac:dyDescent="0.2">
      <c r="A287" s="248" t="s">
        <v>41</v>
      </c>
      <c r="B287" s="248"/>
      <c r="C287" s="248"/>
      <c r="D287" s="248"/>
      <c r="E287" s="248"/>
      <c r="F287" s="248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6">
        <f>SUM(AM9:AM286)</f>
        <v>22604920</v>
      </c>
      <c r="AN287" s="246"/>
      <c r="AO287" s="246"/>
      <c r="AP287" s="249"/>
      <c r="AQ287" s="250"/>
      <c r="AR287" s="251"/>
      <c r="AS287" s="103"/>
      <c r="AT287" s="103"/>
      <c r="AU287" s="103"/>
      <c r="AV287" s="103"/>
      <c r="AW287" s="103"/>
      <c r="AX287" s="103"/>
      <c r="AY287" s="103"/>
      <c r="AZ287" s="187"/>
    </row>
    <row r="288" spans="1:52" ht="12.75" x14ac:dyDescent="0.2">
      <c r="A288" s="252" t="s">
        <v>42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  <c r="AA288" s="252"/>
      <c r="AB288" s="252"/>
      <c r="AC288" s="252"/>
      <c r="AD288" s="252"/>
      <c r="AE288" s="252"/>
      <c r="AF288" s="252"/>
      <c r="AG288" s="252"/>
      <c r="AH288" s="252"/>
      <c r="AI288" s="252"/>
      <c r="AJ288" s="252"/>
      <c r="AK288" s="252"/>
      <c r="AL288" s="252"/>
      <c r="AM288" s="253"/>
      <c r="AN288" s="253"/>
      <c r="AO288" s="253"/>
      <c r="AP288" s="254">
        <f>SUM(AP9:AP287)</f>
        <v>22416387.5</v>
      </c>
      <c r="AQ288" s="255"/>
      <c r="AR288" s="255"/>
      <c r="AS288" s="103"/>
      <c r="AT288" s="103"/>
      <c r="AU288" s="103"/>
      <c r="AV288" s="103"/>
      <c r="AW288" s="103"/>
      <c r="AX288" s="103"/>
      <c r="AY288" s="103"/>
      <c r="AZ288" s="187"/>
    </row>
    <row r="289" spans="1:100" ht="12.75" x14ac:dyDescent="0.2">
      <c r="A289" s="242" t="s">
        <v>43</v>
      </c>
      <c r="B289" s="242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  <c r="AJ289" s="242"/>
      <c r="AK289" s="242"/>
      <c r="AL289" s="242"/>
      <c r="AM289" s="243">
        <f>AM287-AP288</f>
        <v>188532.5</v>
      </c>
      <c r="AN289" s="244"/>
      <c r="AO289" s="244"/>
      <c r="AP289" s="244"/>
      <c r="AQ289" s="244"/>
      <c r="AR289" s="244"/>
      <c r="AS289" s="103"/>
      <c r="AT289" s="103"/>
      <c r="AU289" s="103"/>
      <c r="AV289" s="103"/>
      <c r="AW289" s="103"/>
      <c r="AX289" s="103"/>
      <c r="AY289" s="103"/>
      <c r="AZ289" s="187"/>
    </row>
    <row r="291" spans="1:100" s="19" customFormat="1" ht="26.25" customHeight="1" x14ac:dyDescent="0.2">
      <c r="A291" s="210" t="s">
        <v>44</v>
      </c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211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212"/>
      <c r="AI291" s="109"/>
      <c r="AJ291" s="214"/>
      <c r="AK291" s="109"/>
      <c r="AL291" s="211"/>
      <c r="AM291" s="213"/>
      <c r="AN291" s="109"/>
      <c r="AO291" s="109"/>
      <c r="AP291" s="213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</row>
    <row r="292" spans="1:100" s="160" customFormat="1" ht="12.75" x14ac:dyDescent="0.2">
      <c r="A292" s="72" t="s">
        <v>142</v>
      </c>
      <c r="B292" s="72" t="s">
        <v>214</v>
      </c>
      <c r="C292" s="98"/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8"/>
      <c r="R292" s="98"/>
      <c r="S292" s="98"/>
      <c r="T292" s="73">
        <v>6000</v>
      </c>
      <c r="U292" s="99"/>
      <c r="V292" s="145" t="s">
        <v>107</v>
      </c>
      <c r="W292" s="2"/>
      <c r="X292" s="2">
        <v>53.9</v>
      </c>
      <c r="Y292" s="46"/>
      <c r="Z292" s="100"/>
      <c r="AA292" s="98"/>
      <c r="AB292" s="98"/>
      <c r="AC292" s="100"/>
      <c r="AD292" s="100"/>
      <c r="AE292" s="100"/>
      <c r="AF292" s="100"/>
      <c r="AG292" s="75">
        <v>44763</v>
      </c>
      <c r="AH292" s="75">
        <v>44763</v>
      </c>
      <c r="AI292" s="75">
        <v>44819</v>
      </c>
      <c r="AJ292" s="79">
        <v>44826</v>
      </c>
      <c r="AK292" s="79">
        <v>44826</v>
      </c>
      <c r="AL292" s="135" t="s">
        <v>31</v>
      </c>
      <c r="AM292" s="73">
        <v>6000</v>
      </c>
      <c r="AN292" s="96"/>
      <c r="AO292" s="96"/>
      <c r="AP292" s="73">
        <v>5960</v>
      </c>
      <c r="AQ292" s="96"/>
      <c r="AR292" s="96"/>
      <c r="AS292" s="98"/>
      <c r="AT292" s="98"/>
      <c r="AU292" s="98"/>
      <c r="AV292" s="98"/>
      <c r="AW292" s="98"/>
      <c r="AX292" s="98"/>
      <c r="AY292" s="115"/>
      <c r="AZ292" s="98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</row>
    <row r="293" spans="1:100" s="19" customFormat="1" ht="12.75" x14ac:dyDescent="0.2">
      <c r="A293" s="150" t="s">
        <v>149</v>
      </c>
      <c r="B293" s="150" t="s">
        <v>120</v>
      </c>
      <c r="C293" s="40"/>
      <c r="D293" s="40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0"/>
      <c r="R293" s="40"/>
      <c r="S293" s="40"/>
      <c r="T293" s="162">
        <v>15000</v>
      </c>
      <c r="U293" s="41"/>
      <c r="V293" s="208" t="s">
        <v>90</v>
      </c>
      <c r="W293" s="42"/>
      <c r="X293" s="42">
        <v>53.9</v>
      </c>
      <c r="Y293" s="113"/>
      <c r="Z293" s="43"/>
      <c r="AA293" s="40"/>
      <c r="AB293" s="40"/>
      <c r="AC293" s="43"/>
      <c r="AD293" s="43"/>
      <c r="AE293" s="43"/>
      <c r="AF293" s="43"/>
      <c r="AG293" s="163">
        <v>44806</v>
      </c>
      <c r="AH293" s="163">
        <v>44806</v>
      </c>
      <c r="AI293" s="165"/>
      <c r="AJ293" s="209"/>
      <c r="AK293" s="209"/>
      <c r="AL293" s="134" t="s">
        <v>31</v>
      </c>
      <c r="AM293" s="162">
        <v>15000</v>
      </c>
      <c r="AN293" s="44"/>
      <c r="AO293" s="44"/>
      <c r="AP293" s="162">
        <v>14910</v>
      </c>
      <c r="AQ293" s="44"/>
      <c r="AR293" s="44"/>
      <c r="AS293" s="40"/>
      <c r="AT293" s="40"/>
      <c r="AU293" s="40"/>
      <c r="AV293" s="40"/>
      <c r="AW293" s="40"/>
      <c r="AX293" s="40"/>
      <c r="AY293" s="188"/>
      <c r="AZ293" s="98"/>
    </row>
    <row r="294" spans="1:100" s="19" customFormat="1" ht="12.75" x14ac:dyDescent="0.2">
      <c r="A294" s="72" t="s">
        <v>152</v>
      </c>
      <c r="B294" s="72" t="s">
        <v>124</v>
      </c>
      <c r="C294" s="40"/>
      <c r="D294" s="40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0"/>
      <c r="R294" s="40"/>
      <c r="S294" s="40"/>
      <c r="T294" s="73">
        <v>36500</v>
      </c>
      <c r="U294" s="41"/>
      <c r="V294" s="149" t="s">
        <v>90</v>
      </c>
      <c r="W294" s="42"/>
      <c r="X294" s="42">
        <v>53.9</v>
      </c>
      <c r="Y294" s="46"/>
      <c r="Z294" s="43"/>
      <c r="AA294" s="40"/>
      <c r="AB294" s="40"/>
      <c r="AC294" s="43"/>
      <c r="AD294" s="43"/>
      <c r="AE294" s="43"/>
      <c r="AF294" s="43"/>
      <c r="AG294" s="75">
        <v>44806</v>
      </c>
      <c r="AH294" s="75">
        <v>44806</v>
      </c>
      <c r="AI294" s="78"/>
      <c r="AJ294" s="156"/>
      <c r="AK294" s="156"/>
      <c r="AL294" s="134" t="s">
        <v>31</v>
      </c>
      <c r="AM294" s="73">
        <v>36500</v>
      </c>
      <c r="AN294" s="44"/>
      <c r="AO294" s="44"/>
      <c r="AP294" s="73">
        <v>36420</v>
      </c>
      <c r="AQ294" s="44"/>
      <c r="AR294" s="44"/>
      <c r="AS294" s="40"/>
      <c r="AT294" s="40"/>
      <c r="AU294" s="40"/>
      <c r="AV294" s="40"/>
      <c r="AW294" s="40"/>
      <c r="AX294" s="40"/>
      <c r="AY294" s="188"/>
      <c r="AZ294" s="98"/>
    </row>
    <row r="295" spans="1:100" s="19" customFormat="1" ht="12.75" x14ac:dyDescent="0.2">
      <c r="A295" s="72" t="s">
        <v>134</v>
      </c>
      <c r="B295" s="72" t="s">
        <v>196</v>
      </c>
      <c r="C295" s="40"/>
      <c r="D295" s="40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0"/>
      <c r="R295" s="40"/>
      <c r="S295" s="40"/>
      <c r="T295" s="73">
        <v>24000</v>
      </c>
      <c r="U295" s="41"/>
      <c r="V295" s="149" t="s">
        <v>90</v>
      </c>
      <c r="W295" s="42"/>
      <c r="X295" s="42">
        <v>53.9</v>
      </c>
      <c r="Y295" s="46"/>
      <c r="Z295" s="43"/>
      <c r="AA295" s="40"/>
      <c r="AB295" s="40"/>
      <c r="AC295" s="43"/>
      <c r="AD295" s="43"/>
      <c r="AE295" s="43"/>
      <c r="AF295" s="43"/>
      <c r="AG295" s="75">
        <v>44810</v>
      </c>
      <c r="AH295" s="75">
        <v>44810</v>
      </c>
      <c r="AI295" s="78"/>
      <c r="AJ295" s="156"/>
      <c r="AK295" s="156"/>
      <c r="AL295" s="134" t="s">
        <v>31</v>
      </c>
      <c r="AM295" s="73">
        <v>24000</v>
      </c>
      <c r="AN295" s="44"/>
      <c r="AO295" s="44"/>
      <c r="AP295" s="73">
        <v>23880</v>
      </c>
      <c r="AQ295" s="44"/>
      <c r="AR295" s="44"/>
      <c r="AS295" s="40"/>
      <c r="AT295" s="40"/>
      <c r="AU295" s="40"/>
      <c r="AV295" s="40"/>
      <c r="AW295" s="40"/>
      <c r="AX295" s="40"/>
      <c r="AY295" s="188"/>
      <c r="AZ295" s="98"/>
    </row>
    <row r="296" spans="1:100" s="19" customFormat="1" ht="12.75" x14ac:dyDescent="0.2">
      <c r="A296" s="72" t="s">
        <v>215</v>
      </c>
      <c r="B296" s="72" t="s">
        <v>196</v>
      </c>
      <c r="C296" s="40"/>
      <c r="D296" s="40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0"/>
      <c r="R296" s="40"/>
      <c r="S296" s="40"/>
      <c r="T296" s="73">
        <v>40000</v>
      </c>
      <c r="U296" s="41"/>
      <c r="V296" s="147" t="s">
        <v>86</v>
      </c>
      <c r="W296" s="42"/>
      <c r="X296" s="42">
        <v>53.9</v>
      </c>
      <c r="Y296" s="46"/>
      <c r="Z296" s="43"/>
      <c r="AA296" s="40"/>
      <c r="AB296" s="40"/>
      <c r="AC296" s="43"/>
      <c r="AD296" s="43"/>
      <c r="AE296" s="43"/>
      <c r="AF296" s="43"/>
      <c r="AG296" s="75">
        <v>44810</v>
      </c>
      <c r="AH296" s="75">
        <v>44810</v>
      </c>
      <c r="AI296" s="78"/>
      <c r="AJ296" s="78"/>
      <c r="AK296" s="78"/>
      <c r="AL296" s="134" t="s">
        <v>31</v>
      </c>
      <c r="AM296" s="73">
        <v>40000</v>
      </c>
      <c r="AN296" s="44"/>
      <c r="AO296" s="44"/>
      <c r="AP296" s="73">
        <v>38700</v>
      </c>
      <c r="AQ296" s="44"/>
      <c r="AR296" s="44"/>
      <c r="AS296" s="40"/>
      <c r="AT296" s="40"/>
      <c r="AU296" s="40"/>
      <c r="AV296" s="40"/>
      <c r="AW296" s="40"/>
      <c r="AX296" s="40"/>
      <c r="AY296" s="188"/>
      <c r="AZ296" s="98"/>
    </row>
    <row r="297" spans="1:100" s="19" customFormat="1" ht="12.75" x14ac:dyDescent="0.2">
      <c r="A297" s="72" t="s">
        <v>135</v>
      </c>
      <c r="B297" s="72" t="s">
        <v>216</v>
      </c>
      <c r="C297" s="40"/>
      <c r="D297" s="40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0"/>
      <c r="R297" s="40"/>
      <c r="S297" s="40"/>
      <c r="T297" s="73">
        <v>7000</v>
      </c>
      <c r="U297" s="41"/>
      <c r="V297" s="147" t="s">
        <v>79</v>
      </c>
      <c r="W297" s="42"/>
      <c r="X297" s="42">
        <v>53.9</v>
      </c>
      <c r="Y297" s="46"/>
      <c r="Z297" s="43"/>
      <c r="AA297" s="40"/>
      <c r="AB297" s="40"/>
      <c r="AC297" s="43"/>
      <c r="AD297" s="43"/>
      <c r="AE297" s="43"/>
      <c r="AF297" s="43"/>
      <c r="AG297" s="75">
        <v>44809</v>
      </c>
      <c r="AH297" s="75">
        <v>44809</v>
      </c>
      <c r="AI297" s="77">
        <v>44869</v>
      </c>
      <c r="AJ297" s="77">
        <v>44876</v>
      </c>
      <c r="AK297" s="77">
        <v>44876</v>
      </c>
      <c r="AL297" s="134" t="s">
        <v>31</v>
      </c>
      <c r="AM297" s="73">
        <v>7000</v>
      </c>
      <c r="AN297" s="44"/>
      <c r="AO297" s="44"/>
      <c r="AP297" s="73">
        <v>6972</v>
      </c>
      <c r="AQ297" s="44"/>
      <c r="AR297" s="44"/>
      <c r="AS297" s="40"/>
      <c r="AT297" s="40"/>
      <c r="AU297" s="40"/>
      <c r="AV297" s="40"/>
      <c r="AW297" s="40"/>
      <c r="AX297" s="40"/>
      <c r="AY297" s="188"/>
      <c r="AZ297" s="98"/>
    </row>
    <row r="298" spans="1:100" s="19" customFormat="1" ht="12.75" x14ac:dyDescent="0.2">
      <c r="A298" s="72" t="s">
        <v>137</v>
      </c>
      <c r="B298" s="72" t="s">
        <v>112</v>
      </c>
      <c r="C298" s="40"/>
      <c r="D298" s="40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0"/>
      <c r="R298" s="40"/>
      <c r="S298" s="40"/>
      <c r="T298" s="73">
        <v>25000</v>
      </c>
      <c r="U298" s="41"/>
      <c r="V298" s="147" t="s">
        <v>81</v>
      </c>
      <c r="W298" s="42"/>
      <c r="X298" s="42">
        <v>53.9</v>
      </c>
      <c r="Y298" s="46"/>
      <c r="Z298" s="43"/>
      <c r="AA298" s="40"/>
      <c r="AB298" s="40"/>
      <c r="AC298" s="43"/>
      <c r="AD298" s="43"/>
      <c r="AE298" s="43"/>
      <c r="AF298" s="43"/>
      <c r="AG298" s="75">
        <v>44810</v>
      </c>
      <c r="AH298" s="75">
        <v>44810</v>
      </c>
      <c r="AI298" s="77">
        <v>44897</v>
      </c>
      <c r="AJ298" s="77">
        <v>44904</v>
      </c>
      <c r="AK298" s="77">
        <v>44904</v>
      </c>
      <c r="AL298" s="134" t="s">
        <v>31</v>
      </c>
      <c r="AM298" s="73">
        <v>25000</v>
      </c>
      <c r="AN298" s="44"/>
      <c r="AO298" s="44"/>
      <c r="AP298" s="73">
        <v>24656</v>
      </c>
      <c r="AQ298" s="44"/>
      <c r="AR298" s="44"/>
      <c r="AS298" s="40"/>
      <c r="AT298" s="40"/>
      <c r="AU298" s="40"/>
      <c r="AV298" s="40"/>
      <c r="AW298" s="40"/>
      <c r="AX298" s="40"/>
      <c r="AY298" s="188"/>
      <c r="AZ298" s="98"/>
    </row>
    <row r="299" spans="1:100" s="19" customFormat="1" ht="12.75" x14ac:dyDescent="0.2">
      <c r="A299" s="72" t="s">
        <v>142</v>
      </c>
      <c r="B299" s="72" t="s">
        <v>187</v>
      </c>
      <c r="C299" s="40"/>
      <c r="D299" s="40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0"/>
      <c r="R299" s="40"/>
      <c r="S299" s="40"/>
      <c r="T299" s="73">
        <v>5100</v>
      </c>
      <c r="U299" s="41"/>
      <c r="V299" s="147" t="s">
        <v>94</v>
      </c>
      <c r="W299" s="42"/>
      <c r="X299" s="42">
        <v>53.9</v>
      </c>
      <c r="Y299" s="46"/>
      <c r="Z299" s="43"/>
      <c r="AA299" s="40"/>
      <c r="AB299" s="40"/>
      <c r="AC299" s="43"/>
      <c r="AD299" s="43"/>
      <c r="AE299" s="43"/>
      <c r="AF299" s="43"/>
      <c r="AG299" s="75">
        <v>44810</v>
      </c>
      <c r="AH299" s="75">
        <v>44810</v>
      </c>
      <c r="AI299" s="77">
        <v>44861</v>
      </c>
      <c r="AJ299" s="77">
        <v>44868</v>
      </c>
      <c r="AK299" s="77">
        <v>44868</v>
      </c>
      <c r="AL299" s="134" t="s">
        <v>31</v>
      </c>
      <c r="AM299" s="73">
        <v>5100</v>
      </c>
      <c r="AN299" s="44"/>
      <c r="AO299" s="44"/>
      <c r="AP299" s="73">
        <v>5050</v>
      </c>
      <c r="AQ299" s="44"/>
      <c r="AR299" s="44"/>
      <c r="AS299" s="40"/>
      <c r="AT299" s="40"/>
      <c r="AU299" s="40"/>
      <c r="AV299" s="40"/>
      <c r="AW299" s="40"/>
      <c r="AX299" s="40"/>
      <c r="AY299" s="188"/>
      <c r="AZ299" s="98"/>
    </row>
    <row r="300" spans="1:100" s="19" customFormat="1" ht="12.75" x14ac:dyDescent="0.2">
      <c r="A300" s="72" t="s">
        <v>138</v>
      </c>
      <c r="B300" s="72" t="s">
        <v>201</v>
      </c>
      <c r="C300" s="40"/>
      <c r="D300" s="40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0"/>
      <c r="R300" s="40"/>
      <c r="S300" s="40"/>
      <c r="T300" s="73">
        <v>244000</v>
      </c>
      <c r="U300" s="41"/>
      <c r="V300" s="147" t="s">
        <v>86</v>
      </c>
      <c r="W300" s="42"/>
      <c r="X300" s="42">
        <v>53.9</v>
      </c>
      <c r="Y300" s="46"/>
      <c r="Z300" s="43"/>
      <c r="AA300" s="40"/>
      <c r="AB300" s="40"/>
      <c r="AC300" s="43"/>
      <c r="AD300" s="43"/>
      <c r="AE300" s="43"/>
      <c r="AF300" s="43"/>
      <c r="AG300" s="75">
        <v>44812</v>
      </c>
      <c r="AH300" s="75">
        <v>44812</v>
      </c>
      <c r="AI300" s="77">
        <v>44897</v>
      </c>
      <c r="AJ300" s="77">
        <v>44904</v>
      </c>
      <c r="AK300" s="77">
        <v>44904</v>
      </c>
      <c r="AL300" s="134" t="s">
        <v>31</v>
      </c>
      <c r="AM300" s="73">
        <v>244000</v>
      </c>
      <c r="AN300" s="44"/>
      <c r="AO300" s="44"/>
      <c r="AP300" s="73">
        <v>243000</v>
      </c>
      <c r="AQ300" s="44"/>
      <c r="AR300" s="44"/>
      <c r="AS300" s="40"/>
      <c r="AT300" s="40"/>
      <c r="AU300" s="40"/>
      <c r="AV300" s="40"/>
      <c r="AW300" s="40"/>
      <c r="AX300" s="40"/>
      <c r="AY300" s="188"/>
      <c r="AZ300" s="98"/>
    </row>
    <row r="301" spans="1:100" s="19" customFormat="1" ht="12.75" x14ac:dyDescent="0.2">
      <c r="A301" s="72" t="s">
        <v>146</v>
      </c>
      <c r="B301" s="72" t="s">
        <v>203</v>
      </c>
      <c r="C301" s="40"/>
      <c r="D301" s="40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0"/>
      <c r="R301" s="40"/>
      <c r="S301" s="40"/>
      <c r="T301" s="73">
        <v>60000</v>
      </c>
      <c r="U301" s="41"/>
      <c r="V301" s="145" t="s">
        <v>86</v>
      </c>
      <c r="W301" s="42"/>
      <c r="X301" s="42">
        <v>53.9</v>
      </c>
      <c r="Y301" s="46"/>
      <c r="Z301" s="43"/>
      <c r="AA301" s="40"/>
      <c r="AB301" s="40"/>
      <c r="AC301" s="43"/>
      <c r="AD301" s="43"/>
      <c r="AE301" s="43"/>
      <c r="AF301" s="43"/>
      <c r="AG301" s="75">
        <v>44812</v>
      </c>
      <c r="AH301" s="75">
        <v>44812</v>
      </c>
      <c r="AI301" s="78"/>
      <c r="AJ301" s="78"/>
      <c r="AK301" s="78"/>
      <c r="AL301" s="134" t="s">
        <v>31</v>
      </c>
      <c r="AM301" s="73">
        <v>60000</v>
      </c>
      <c r="AN301" s="44"/>
      <c r="AO301" s="44"/>
      <c r="AP301" s="73">
        <v>59000</v>
      </c>
      <c r="AQ301" s="44"/>
      <c r="AR301" s="44"/>
      <c r="AS301" s="40"/>
      <c r="AT301" s="40"/>
      <c r="AU301" s="40"/>
      <c r="AV301" s="40"/>
      <c r="AW301" s="40"/>
      <c r="AX301" s="40"/>
      <c r="AY301" s="188"/>
      <c r="AZ301" s="98"/>
    </row>
    <row r="302" spans="1:100" s="19" customFormat="1" ht="12.75" x14ac:dyDescent="0.2">
      <c r="A302" s="72" t="s">
        <v>145</v>
      </c>
      <c r="B302" s="72" t="s">
        <v>201</v>
      </c>
      <c r="C302" s="40"/>
      <c r="D302" s="40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0"/>
      <c r="R302" s="40"/>
      <c r="S302" s="40"/>
      <c r="T302" s="73">
        <v>160000</v>
      </c>
      <c r="U302" s="41"/>
      <c r="V302" s="147" t="s">
        <v>81</v>
      </c>
      <c r="W302" s="42"/>
      <c r="X302" s="42">
        <v>53.9</v>
      </c>
      <c r="Y302" s="46"/>
      <c r="Z302" s="43"/>
      <c r="AA302" s="40"/>
      <c r="AB302" s="40"/>
      <c r="AC302" s="43"/>
      <c r="AD302" s="43"/>
      <c r="AE302" s="43"/>
      <c r="AF302" s="43"/>
      <c r="AG302" s="75">
        <v>44813</v>
      </c>
      <c r="AH302" s="75">
        <v>44813</v>
      </c>
      <c r="AI302" s="77">
        <v>44862</v>
      </c>
      <c r="AJ302" s="77">
        <v>44869</v>
      </c>
      <c r="AK302" s="77">
        <v>44869</v>
      </c>
      <c r="AL302" s="134" t="s">
        <v>31</v>
      </c>
      <c r="AM302" s="73">
        <v>160000</v>
      </c>
      <c r="AN302" s="44"/>
      <c r="AO302" s="44"/>
      <c r="AP302" s="73">
        <v>159000</v>
      </c>
      <c r="AQ302" s="44"/>
      <c r="AR302" s="44"/>
      <c r="AS302" s="40"/>
      <c r="AT302" s="40"/>
      <c r="AU302" s="40"/>
      <c r="AV302" s="40"/>
      <c r="AW302" s="40"/>
      <c r="AX302" s="40"/>
      <c r="AY302" s="188"/>
      <c r="AZ302" s="98"/>
    </row>
    <row r="303" spans="1:100" s="19" customFormat="1" ht="12.75" x14ac:dyDescent="0.2">
      <c r="A303" s="72" t="s">
        <v>139</v>
      </c>
      <c r="B303" s="72" t="s">
        <v>114</v>
      </c>
      <c r="C303" s="40"/>
      <c r="D303" s="40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0"/>
      <c r="R303" s="40"/>
      <c r="S303" s="40"/>
      <c r="T303" s="73">
        <v>61100</v>
      </c>
      <c r="U303" s="41"/>
      <c r="V303" s="147" t="s">
        <v>95</v>
      </c>
      <c r="W303" s="42"/>
      <c r="X303" s="42">
        <v>53.9</v>
      </c>
      <c r="Y303" s="46"/>
      <c r="Z303" s="43"/>
      <c r="AA303" s="40"/>
      <c r="AB303" s="40"/>
      <c r="AC303" s="43"/>
      <c r="AD303" s="43"/>
      <c r="AE303" s="43"/>
      <c r="AF303" s="43"/>
      <c r="AG303" s="75">
        <v>44813</v>
      </c>
      <c r="AH303" s="75">
        <v>44813</v>
      </c>
      <c r="AI303" s="77">
        <v>44887</v>
      </c>
      <c r="AJ303" s="77">
        <v>44894</v>
      </c>
      <c r="AK303" s="77">
        <v>44894</v>
      </c>
      <c r="AL303" s="134" t="s">
        <v>31</v>
      </c>
      <c r="AM303" s="73">
        <v>61100</v>
      </c>
      <c r="AN303" s="44"/>
      <c r="AO303" s="44"/>
      <c r="AP303" s="73">
        <v>60870</v>
      </c>
      <c r="AQ303" s="44"/>
      <c r="AR303" s="44"/>
      <c r="AS303" s="40"/>
      <c r="AT303" s="40"/>
      <c r="AU303" s="40"/>
      <c r="AV303" s="40"/>
      <c r="AW303" s="40"/>
      <c r="AX303" s="40"/>
      <c r="AY303" s="188"/>
      <c r="AZ303" s="98"/>
    </row>
    <row r="304" spans="1:100" s="19" customFormat="1" ht="12.75" x14ac:dyDescent="0.2">
      <c r="A304" s="72" t="s">
        <v>146</v>
      </c>
      <c r="B304" s="72" t="s">
        <v>217</v>
      </c>
      <c r="C304" s="40"/>
      <c r="D304" s="40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0"/>
      <c r="R304" s="40"/>
      <c r="S304" s="40"/>
      <c r="T304" s="73">
        <v>15000</v>
      </c>
      <c r="U304" s="41"/>
      <c r="V304" s="147" t="s">
        <v>89</v>
      </c>
      <c r="W304" s="42"/>
      <c r="X304" s="42">
        <v>53.9</v>
      </c>
      <c r="Y304" s="46"/>
      <c r="Z304" s="43"/>
      <c r="AA304" s="40"/>
      <c r="AB304" s="40"/>
      <c r="AC304" s="43"/>
      <c r="AD304" s="43"/>
      <c r="AE304" s="43"/>
      <c r="AF304" s="43"/>
      <c r="AG304" s="75">
        <v>44824</v>
      </c>
      <c r="AH304" s="75">
        <v>44824</v>
      </c>
      <c r="AI304" s="77">
        <v>44889</v>
      </c>
      <c r="AJ304" s="157">
        <v>44896</v>
      </c>
      <c r="AK304" s="157">
        <v>44896</v>
      </c>
      <c r="AL304" s="134" t="s">
        <v>31</v>
      </c>
      <c r="AM304" s="73">
        <v>15000</v>
      </c>
      <c r="AN304" s="44"/>
      <c r="AO304" s="44"/>
      <c r="AP304" s="73">
        <v>14700</v>
      </c>
      <c r="AQ304" s="44"/>
      <c r="AR304" s="44"/>
      <c r="AS304" s="40"/>
      <c r="AT304" s="40"/>
      <c r="AU304" s="40"/>
      <c r="AV304" s="40"/>
      <c r="AW304" s="40"/>
      <c r="AX304" s="40"/>
      <c r="AY304" s="188"/>
      <c r="AZ304" s="98"/>
    </row>
    <row r="305" spans="1:52" s="19" customFormat="1" ht="12.75" x14ac:dyDescent="0.2">
      <c r="A305" s="72" t="s">
        <v>145</v>
      </c>
      <c r="B305" s="72" t="s">
        <v>201</v>
      </c>
      <c r="C305" s="40"/>
      <c r="D305" s="40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0"/>
      <c r="R305" s="40"/>
      <c r="S305" s="40"/>
      <c r="T305" s="73">
        <v>191000</v>
      </c>
      <c r="U305" s="41"/>
      <c r="V305" s="147" t="s">
        <v>89</v>
      </c>
      <c r="W305" s="42"/>
      <c r="X305" s="42">
        <v>53.9</v>
      </c>
      <c r="Y305" s="46"/>
      <c r="Z305" s="43"/>
      <c r="AA305" s="40"/>
      <c r="AB305" s="40"/>
      <c r="AC305" s="43"/>
      <c r="AD305" s="43"/>
      <c r="AE305" s="43"/>
      <c r="AF305" s="43"/>
      <c r="AG305" s="75">
        <v>44824</v>
      </c>
      <c r="AH305" s="75">
        <v>44824</v>
      </c>
      <c r="AI305" s="77">
        <v>44889</v>
      </c>
      <c r="AJ305" s="77">
        <v>44896</v>
      </c>
      <c r="AK305" s="77">
        <v>44896</v>
      </c>
      <c r="AL305" s="134" t="s">
        <v>31</v>
      </c>
      <c r="AM305" s="73">
        <v>191000</v>
      </c>
      <c r="AN305" s="44"/>
      <c r="AO305" s="44"/>
      <c r="AP305" s="73">
        <v>189000</v>
      </c>
      <c r="AQ305" s="44"/>
      <c r="AR305" s="44"/>
      <c r="AS305" s="40"/>
      <c r="AT305" s="40"/>
      <c r="AU305" s="40"/>
      <c r="AV305" s="40"/>
      <c r="AW305" s="40"/>
      <c r="AX305" s="40"/>
      <c r="AY305" s="188"/>
      <c r="AZ305" s="98"/>
    </row>
    <row r="306" spans="1:52" s="19" customFormat="1" ht="12.75" x14ac:dyDescent="0.2">
      <c r="A306" s="72" t="s">
        <v>143</v>
      </c>
      <c r="B306" s="72" t="s">
        <v>185</v>
      </c>
      <c r="C306" s="40"/>
      <c r="D306" s="40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0"/>
      <c r="R306" s="40"/>
      <c r="S306" s="40"/>
      <c r="T306" s="73">
        <v>142000</v>
      </c>
      <c r="U306" s="41"/>
      <c r="V306" s="149" t="s">
        <v>89</v>
      </c>
      <c r="W306" s="42"/>
      <c r="X306" s="42">
        <v>53.9</v>
      </c>
      <c r="Y306" s="46"/>
      <c r="Z306" s="43"/>
      <c r="AA306" s="40"/>
      <c r="AB306" s="40"/>
      <c r="AC306" s="43"/>
      <c r="AD306" s="43"/>
      <c r="AE306" s="43"/>
      <c r="AF306" s="43"/>
      <c r="AG306" s="75">
        <v>44824</v>
      </c>
      <c r="AH306" s="75">
        <v>44824</v>
      </c>
      <c r="AI306" s="77">
        <v>44897</v>
      </c>
      <c r="AJ306" s="77">
        <v>44904</v>
      </c>
      <c r="AK306" s="77">
        <v>44904</v>
      </c>
      <c r="AL306" s="134" t="s">
        <v>31</v>
      </c>
      <c r="AM306" s="73">
        <v>142000</v>
      </c>
      <c r="AN306" s="44"/>
      <c r="AO306" s="44"/>
      <c r="AP306" s="73">
        <v>140600</v>
      </c>
      <c r="AQ306" s="44"/>
      <c r="AR306" s="44"/>
      <c r="AS306" s="40"/>
      <c r="AT306" s="40"/>
      <c r="AU306" s="40"/>
      <c r="AV306" s="40"/>
      <c r="AW306" s="40"/>
      <c r="AX306" s="40"/>
      <c r="AY306" s="188"/>
      <c r="AZ306" s="98"/>
    </row>
    <row r="307" spans="1:52" s="19" customFormat="1" ht="12.75" x14ac:dyDescent="0.2">
      <c r="A307" s="72" t="s">
        <v>137</v>
      </c>
      <c r="B307" s="72" t="s">
        <v>112</v>
      </c>
      <c r="C307" s="40"/>
      <c r="D307" s="40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0"/>
      <c r="R307" s="40"/>
      <c r="S307" s="40"/>
      <c r="T307" s="73">
        <v>15000</v>
      </c>
      <c r="U307" s="41"/>
      <c r="V307" s="149" t="s">
        <v>89</v>
      </c>
      <c r="W307" s="42"/>
      <c r="X307" s="42">
        <v>53.9</v>
      </c>
      <c r="Y307" s="46"/>
      <c r="Z307" s="43"/>
      <c r="AA307" s="40"/>
      <c r="AB307" s="40"/>
      <c r="AC307" s="43"/>
      <c r="AD307" s="43"/>
      <c r="AE307" s="43"/>
      <c r="AF307" s="43"/>
      <c r="AG307" s="75">
        <v>44824</v>
      </c>
      <c r="AH307" s="75">
        <v>44824</v>
      </c>
      <c r="AI307" s="77">
        <v>44897</v>
      </c>
      <c r="AJ307" s="77">
        <v>44904</v>
      </c>
      <c r="AK307" s="77">
        <v>44904</v>
      </c>
      <c r="AL307" s="134" t="s">
        <v>31</v>
      </c>
      <c r="AM307" s="73">
        <v>15000</v>
      </c>
      <c r="AN307" s="44"/>
      <c r="AO307" s="44"/>
      <c r="AP307" s="73">
        <v>14740</v>
      </c>
      <c r="AQ307" s="44"/>
      <c r="AR307" s="44"/>
      <c r="AS307" s="40"/>
      <c r="AT307" s="40"/>
      <c r="AU307" s="40"/>
      <c r="AV307" s="40"/>
      <c r="AW307" s="40"/>
      <c r="AX307" s="40"/>
      <c r="AY307" s="188"/>
      <c r="AZ307" s="98"/>
    </row>
    <row r="308" spans="1:52" s="19" customFormat="1" ht="12.75" x14ac:dyDescent="0.2">
      <c r="A308" s="72" t="s">
        <v>143</v>
      </c>
      <c r="B308" s="72" t="s">
        <v>185</v>
      </c>
      <c r="C308" s="40"/>
      <c r="D308" s="40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0"/>
      <c r="R308" s="40"/>
      <c r="S308" s="40"/>
      <c r="T308" s="73">
        <v>43000</v>
      </c>
      <c r="U308" s="41"/>
      <c r="V308" s="149" t="s">
        <v>88</v>
      </c>
      <c r="W308" s="42"/>
      <c r="X308" s="42">
        <v>53.9</v>
      </c>
      <c r="Y308" s="46"/>
      <c r="Z308" s="43"/>
      <c r="AA308" s="40"/>
      <c r="AB308" s="40"/>
      <c r="AC308" s="43"/>
      <c r="AD308" s="43"/>
      <c r="AE308" s="43"/>
      <c r="AF308" s="43"/>
      <c r="AG308" s="75">
        <v>44824</v>
      </c>
      <c r="AH308" s="75">
        <v>44824</v>
      </c>
      <c r="AI308" s="77">
        <v>44887</v>
      </c>
      <c r="AJ308" s="77">
        <v>44894</v>
      </c>
      <c r="AK308" s="77">
        <v>44894</v>
      </c>
      <c r="AL308" s="134" t="s">
        <v>31</v>
      </c>
      <c r="AM308" s="73">
        <v>43000</v>
      </c>
      <c r="AN308" s="44"/>
      <c r="AO308" s="44"/>
      <c r="AP308" s="73">
        <v>42080</v>
      </c>
      <c r="AQ308" s="44"/>
      <c r="AR308" s="44"/>
      <c r="AS308" s="40"/>
      <c r="AT308" s="40"/>
      <c r="AU308" s="40"/>
      <c r="AV308" s="40"/>
      <c r="AW308" s="40"/>
      <c r="AX308" s="40"/>
      <c r="AY308" s="188"/>
      <c r="AZ308" s="98"/>
    </row>
    <row r="309" spans="1:52" s="19" customFormat="1" ht="12.75" x14ac:dyDescent="0.2">
      <c r="A309" s="72" t="s">
        <v>138</v>
      </c>
      <c r="B309" s="72" t="s">
        <v>197</v>
      </c>
      <c r="C309" s="40"/>
      <c r="D309" s="40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0"/>
      <c r="R309" s="40"/>
      <c r="S309" s="40"/>
      <c r="T309" s="73">
        <v>72550</v>
      </c>
      <c r="U309" s="41"/>
      <c r="V309" s="149" t="s">
        <v>88</v>
      </c>
      <c r="W309" s="42"/>
      <c r="X309" s="42">
        <v>53.9</v>
      </c>
      <c r="Y309" s="46"/>
      <c r="Z309" s="43"/>
      <c r="AA309" s="40"/>
      <c r="AB309" s="40"/>
      <c r="AC309" s="43"/>
      <c r="AD309" s="43"/>
      <c r="AE309" s="43"/>
      <c r="AF309" s="43"/>
      <c r="AG309" s="75">
        <v>44824</v>
      </c>
      <c r="AH309" s="75">
        <v>44824</v>
      </c>
      <c r="AI309" s="77">
        <v>44887</v>
      </c>
      <c r="AJ309" s="77">
        <v>44894</v>
      </c>
      <c r="AK309" s="77">
        <v>44894</v>
      </c>
      <c r="AL309" s="134" t="s">
        <v>31</v>
      </c>
      <c r="AM309" s="73">
        <v>72550</v>
      </c>
      <c r="AN309" s="44"/>
      <c r="AO309" s="44"/>
      <c r="AP309" s="73">
        <v>72525</v>
      </c>
      <c r="AQ309" s="44"/>
      <c r="AR309" s="44"/>
      <c r="AS309" s="40"/>
      <c r="AT309" s="40"/>
      <c r="AU309" s="40"/>
      <c r="AV309" s="40"/>
      <c r="AW309" s="40"/>
      <c r="AX309" s="40"/>
      <c r="AY309" s="188"/>
      <c r="AZ309" s="98"/>
    </row>
    <row r="310" spans="1:52" s="19" customFormat="1" ht="12.75" x14ac:dyDescent="0.2">
      <c r="A310" s="72" t="s">
        <v>137</v>
      </c>
      <c r="B310" s="72" t="s">
        <v>112</v>
      </c>
      <c r="C310" s="40"/>
      <c r="D310" s="40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0"/>
      <c r="R310" s="40"/>
      <c r="S310" s="40"/>
      <c r="T310" s="73">
        <v>40000</v>
      </c>
      <c r="U310" s="41"/>
      <c r="V310" s="149" t="s">
        <v>88</v>
      </c>
      <c r="W310" s="42"/>
      <c r="X310" s="42">
        <v>53.9</v>
      </c>
      <c r="Y310" s="46"/>
      <c r="Z310" s="43"/>
      <c r="AA310" s="40"/>
      <c r="AB310" s="40"/>
      <c r="AC310" s="43"/>
      <c r="AD310" s="43"/>
      <c r="AE310" s="43"/>
      <c r="AF310" s="43"/>
      <c r="AG310" s="75">
        <v>44824</v>
      </c>
      <c r="AH310" s="75">
        <v>44824</v>
      </c>
      <c r="AI310" s="77">
        <v>44887</v>
      </c>
      <c r="AJ310" s="77">
        <v>44894</v>
      </c>
      <c r="AK310" s="77">
        <v>44894</v>
      </c>
      <c r="AL310" s="134" t="s">
        <v>31</v>
      </c>
      <c r="AM310" s="73">
        <v>40000</v>
      </c>
      <c r="AN310" s="44"/>
      <c r="AO310" s="44"/>
      <c r="AP310" s="73">
        <v>39050</v>
      </c>
      <c r="AQ310" s="44"/>
      <c r="AR310" s="44"/>
      <c r="AS310" s="40"/>
      <c r="AT310" s="40"/>
      <c r="AU310" s="40"/>
      <c r="AV310" s="40"/>
      <c r="AW310" s="40"/>
      <c r="AX310" s="40"/>
      <c r="AY310" s="188"/>
      <c r="AZ310" s="98"/>
    </row>
    <row r="311" spans="1:52" s="19" customFormat="1" ht="12.75" x14ac:dyDescent="0.2">
      <c r="A311" s="72" t="s">
        <v>150</v>
      </c>
      <c r="B311" s="72" t="s">
        <v>188</v>
      </c>
      <c r="C311" s="40"/>
      <c r="D311" s="40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0"/>
      <c r="R311" s="40"/>
      <c r="S311" s="40"/>
      <c r="T311" s="73">
        <v>27000</v>
      </c>
      <c r="U311" s="41"/>
      <c r="V311" s="149" t="s">
        <v>88</v>
      </c>
      <c r="W311" s="42"/>
      <c r="X311" s="42">
        <v>53.9</v>
      </c>
      <c r="Y311" s="46"/>
      <c r="Z311" s="43"/>
      <c r="AA311" s="40"/>
      <c r="AB311" s="40"/>
      <c r="AC311" s="43"/>
      <c r="AD311" s="43"/>
      <c r="AE311" s="43"/>
      <c r="AF311" s="43"/>
      <c r="AG311" s="75">
        <v>44824</v>
      </c>
      <c r="AH311" s="75">
        <v>44824</v>
      </c>
      <c r="AI311" s="77">
        <v>44887</v>
      </c>
      <c r="AJ311" s="77">
        <v>44894</v>
      </c>
      <c r="AK311" s="77">
        <v>44894</v>
      </c>
      <c r="AL311" s="134" t="s">
        <v>31</v>
      </c>
      <c r="AM311" s="73">
        <v>27000</v>
      </c>
      <c r="AN311" s="44"/>
      <c r="AO311" s="44"/>
      <c r="AP311" s="73">
        <v>26892</v>
      </c>
      <c r="AQ311" s="44"/>
      <c r="AR311" s="44"/>
      <c r="AS311" s="40"/>
      <c r="AT311" s="40"/>
      <c r="AU311" s="40"/>
      <c r="AV311" s="40"/>
      <c r="AW311" s="40"/>
      <c r="AX311" s="40"/>
      <c r="AY311" s="188"/>
      <c r="AZ311" s="98"/>
    </row>
    <row r="312" spans="1:52" s="19" customFormat="1" ht="12.75" x14ac:dyDescent="0.2">
      <c r="A312" s="72" t="s">
        <v>145</v>
      </c>
      <c r="B312" s="72" t="s">
        <v>201</v>
      </c>
      <c r="C312" s="40"/>
      <c r="D312" s="40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0"/>
      <c r="R312" s="40"/>
      <c r="S312" s="40"/>
      <c r="T312" s="73">
        <v>120000</v>
      </c>
      <c r="U312" s="41"/>
      <c r="V312" s="145" t="s">
        <v>104</v>
      </c>
      <c r="W312" s="42"/>
      <c r="X312" s="42">
        <v>53.9</v>
      </c>
      <c r="Y312" s="46"/>
      <c r="Z312" s="43"/>
      <c r="AA312" s="40"/>
      <c r="AB312" s="40"/>
      <c r="AC312" s="43"/>
      <c r="AD312" s="43"/>
      <c r="AE312" s="43"/>
      <c r="AF312" s="43"/>
      <c r="AG312" s="75">
        <v>44825</v>
      </c>
      <c r="AH312" s="75">
        <v>44825</v>
      </c>
      <c r="AI312" s="78"/>
      <c r="AJ312" s="156"/>
      <c r="AK312" s="156"/>
      <c r="AL312" s="134" t="s">
        <v>31</v>
      </c>
      <c r="AM312" s="73">
        <v>120000</v>
      </c>
      <c r="AN312" s="44"/>
      <c r="AO312" s="44"/>
      <c r="AP312" s="73">
        <v>119080</v>
      </c>
      <c r="AQ312" s="44"/>
      <c r="AR312" s="44"/>
      <c r="AS312" s="40"/>
      <c r="AT312" s="40"/>
      <c r="AU312" s="40"/>
      <c r="AV312" s="40"/>
      <c r="AW312" s="40"/>
      <c r="AX312" s="40"/>
      <c r="AY312" s="188"/>
      <c r="AZ312" s="98"/>
    </row>
    <row r="313" spans="1:52" s="19" customFormat="1" ht="12.75" x14ac:dyDescent="0.2">
      <c r="A313" s="72" t="s">
        <v>143</v>
      </c>
      <c r="B313" s="72" t="s">
        <v>185</v>
      </c>
      <c r="C313" s="40"/>
      <c r="D313" s="40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0"/>
      <c r="R313" s="40"/>
      <c r="S313" s="40"/>
      <c r="T313" s="73">
        <v>30000</v>
      </c>
      <c r="U313" s="41"/>
      <c r="V313" s="145" t="s">
        <v>87</v>
      </c>
      <c r="W313" s="42"/>
      <c r="X313" s="42">
        <v>53.9</v>
      </c>
      <c r="Y313" s="46"/>
      <c r="Z313" s="43"/>
      <c r="AA313" s="40"/>
      <c r="AB313" s="40"/>
      <c r="AC313" s="43"/>
      <c r="AD313" s="43"/>
      <c r="AE313" s="43"/>
      <c r="AF313" s="43"/>
      <c r="AG313" s="75">
        <v>44832</v>
      </c>
      <c r="AH313" s="75">
        <v>44832</v>
      </c>
      <c r="AI313" s="77">
        <v>44909</v>
      </c>
      <c r="AJ313" s="77">
        <v>44916</v>
      </c>
      <c r="AK313" s="77">
        <v>44916</v>
      </c>
      <c r="AL313" s="134" t="s">
        <v>31</v>
      </c>
      <c r="AM313" s="73">
        <v>30000</v>
      </c>
      <c r="AN313" s="44"/>
      <c r="AO313" s="44"/>
      <c r="AP313" s="73">
        <v>29586</v>
      </c>
      <c r="AQ313" s="44"/>
      <c r="AR313" s="44"/>
      <c r="AS313" s="40"/>
      <c r="AT313" s="40"/>
      <c r="AU313" s="40"/>
      <c r="AV313" s="40"/>
      <c r="AW313" s="40"/>
      <c r="AX313" s="40"/>
      <c r="AY313" s="188"/>
      <c r="AZ313" s="98"/>
    </row>
    <row r="314" spans="1:52" s="19" customFormat="1" ht="25.5" x14ac:dyDescent="0.2">
      <c r="A314" s="72" t="s">
        <v>139</v>
      </c>
      <c r="B314" s="72" t="s">
        <v>198</v>
      </c>
      <c r="C314" s="40"/>
      <c r="D314" s="40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0"/>
      <c r="R314" s="40"/>
      <c r="S314" s="40"/>
      <c r="T314" s="73">
        <v>40000</v>
      </c>
      <c r="U314" s="41"/>
      <c r="V314" s="145" t="s">
        <v>81</v>
      </c>
      <c r="W314" s="42"/>
      <c r="X314" s="42">
        <v>53.9</v>
      </c>
      <c r="Y314" s="46"/>
      <c r="Z314" s="43"/>
      <c r="AA314" s="40"/>
      <c r="AB314" s="40"/>
      <c r="AC314" s="43"/>
      <c r="AD314" s="43"/>
      <c r="AE314" s="43"/>
      <c r="AF314" s="43"/>
      <c r="AG314" s="75">
        <v>44832</v>
      </c>
      <c r="AH314" s="75">
        <v>44832</v>
      </c>
      <c r="AI314" s="77">
        <v>44874</v>
      </c>
      <c r="AJ314" s="77">
        <v>44881</v>
      </c>
      <c r="AK314" s="77">
        <v>44881</v>
      </c>
      <c r="AL314" s="134" t="s">
        <v>31</v>
      </c>
      <c r="AM314" s="73">
        <v>40000</v>
      </c>
      <c r="AN314" s="44"/>
      <c r="AO314" s="44"/>
      <c r="AP314" s="73">
        <v>39840</v>
      </c>
      <c r="AQ314" s="44"/>
      <c r="AR314" s="44"/>
      <c r="AS314" s="40"/>
      <c r="AT314" s="40"/>
      <c r="AU314" s="40"/>
      <c r="AV314" s="40"/>
      <c r="AW314" s="40"/>
      <c r="AX314" s="40"/>
      <c r="AY314" s="188"/>
      <c r="AZ314" s="98"/>
    </row>
    <row r="315" spans="1:52" s="19" customFormat="1" ht="12.75" x14ac:dyDescent="0.2">
      <c r="A315" s="72" t="s">
        <v>137</v>
      </c>
      <c r="B315" s="72" t="s">
        <v>112</v>
      </c>
      <c r="C315" s="40"/>
      <c r="D315" s="40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0"/>
      <c r="R315" s="40"/>
      <c r="S315" s="40"/>
      <c r="T315" s="73">
        <v>50000</v>
      </c>
      <c r="U315" s="41"/>
      <c r="V315" s="145" t="s">
        <v>80</v>
      </c>
      <c r="W315" s="42"/>
      <c r="X315" s="42">
        <v>53.9</v>
      </c>
      <c r="Y315" s="46"/>
      <c r="Z315" s="43"/>
      <c r="AA315" s="40"/>
      <c r="AB315" s="40"/>
      <c r="AC315" s="43"/>
      <c r="AD315" s="43"/>
      <c r="AE315" s="43"/>
      <c r="AF315" s="43"/>
      <c r="AG315" s="75">
        <v>44832</v>
      </c>
      <c r="AH315" s="75">
        <v>44832</v>
      </c>
      <c r="AI315" s="77">
        <v>44862</v>
      </c>
      <c r="AJ315" s="77">
        <v>44868</v>
      </c>
      <c r="AK315" s="77">
        <v>44868</v>
      </c>
      <c r="AL315" s="134" t="s">
        <v>31</v>
      </c>
      <c r="AM315" s="73">
        <v>50000</v>
      </c>
      <c r="AN315" s="44"/>
      <c r="AO315" s="44"/>
      <c r="AP315" s="73">
        <v>49350</v>
      </c>
      <c r="AQ315" s="44"/>
      <c r="AR315" s="44"/>
      <c r="AS315" s="40"/>
      <c r="AT315" s="40"/>
      <c r="AU315" s="40"/>
      <c r="AV315" s="40"/>
      <c r="AW315" s="40"/>
      <c r="AX315" s="40"/>
      <c r="AY315" s="188"/>
      <c r="AZ315" s="98"/>
    </row>
    <row r="316" spans="1:52" s="19" customFormat="1" ht="12.75" x14ac:dyDescent="0.2">
      <c r="A316" s="72" t="s">
        <v>137</v>
      </c>
      <c r="B316" s="72" t="s">
        <v>112</v>
      </c>
      <c r="C316" s="40"/>
      <c r="D316" s="40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0"/>
      <c r="R316" s="40"/>
      <c r="S316" s="40"/>
      <c r="T316" s="73">
        <v>25000</v>
      </c>
      <c r="U316" s="41"/>
      <c r="V316" s="145" t="s">
        <v>79</v>
      </c>
      <c r="W316" s="42"/>
      <c r="X316" s="42">
        <v>53.9</v>
      </c>
      <c r="Y316" s="46"/>
      <c r="Z316" s="43"/>
      <c r="AA316" s="40"/>
      <c r="AB316" s="40"/>
      <c r="AC316" s="43"/>
      <c r="AD316" s="43"/>
      <c r="AE316" s="43"/>
      <c r="AF316" s="43"/>
      <c r="AG316" s="75">
        <v>44832</v>
      </c>
      <c r="AH316" s="75">
        <v>44832</v>
      </c>
      <c r="AI316" s="77">
        <v>44851</v>
      </c>
      <c r="AJ316" s="77">
        <v>44858</v>
      </c>
      <c r="AK316" s="77">
        <v>44858</v>
      </c>
      <c r="AL316" s="134" t="s">
        <v>31</v>
      </c>
      <c r="AM316" s="73">
        <v>25000</v>
      </c>
      <c r="AN316" s="44"/>
      <c r="AO316" s="44"/>
      <c r="AP316" s="73">
        <v>24726</v>
      </c>
      <c r="AQ316" s="44"/>
      <c r="AR316" s="44"/>
      <c r="AS316" s="40"/>
      <c r="AT316" s="40"/>
      <c r="AU316" s="40"/>
      <c r="AV316" s="40"/>
      <c r="AW316" s="40"/>
      <c r="AX316" s="40"/>
      <c r="AY316" s="188"/>
      <c r="AZ316" s="98"/>
    </row>
    <row r="317" spans="1:52" s="19" customFormat="1" ht="25.5" x14ac:dyDescent="0.2">
      <c r="A317" s="72" t="s">
        <v>139</v>
      </c>
      <c r="B317" s="72" t="s">
        <v>198</v>
      </c>
      <c r="C317" s="40"/>
      <c r="D317" s="40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0"/>
      <c r="R317" s="40"/>
      <c r="S317" s="40"/>
      <c r="T317" s="73">
        <v>76600</v>
      </c>
      <c r="U317" s="41"/>
      <c r="V317" s="145" t="s">
        <v>102</v>
      </c>
      <c r="W317" s="42"/>
      <c r="X317" s="42">
        <v>53.9</v>
      </c>
      <c r="Y317" s="46"/>
      <c r="Z317" s="43"/>
      <c r="AA317" s="40"/>
      <c r="AB317" s="40"/>
      <c r="AC317" s="43"/>
      <c r="AD317" s="43"/>
      <c r="AE317" s="43"/>
      <c r="AF317" s="43"/>
      <c r="AG317" s="75">
        <v>44832</v>
      </c>
      <c r="AH317" s="75">
        <v>44832</v>
      </c>
      <c r="AI317" s="77">
        <v>44903</v>
      </c>
      <c r="AJ317" s="77">
        <v>44910</v>
      </c>
      <c r="AK317" s="77">
        <v>44910</v>
      </c>
      <c r="AL317" s="134" t="s">
        <v>31</v>
      </c>
      <c r="AM317" s="73">
        <v>76600</v>
      </c>
      <c r="AN317" s="44"/>
      <c r="AO317" s="44"/>
      <c r="AP317" s="73">
        <v>75100</v>
      </c>
      <c r="AQ317" s="44"/>
      <c r="AR317" s="44"/>
      <c r="AS317" s="40"/>
      <c r="AT317" s="40"/>
      <c r="AU317" s="40"/>
      <c r="AV317" s="40"/>
      <c r="AW317" s="40"/>
      <c r="AX317" s="40"/>
      <c r="AY317" s="188"/>
      <c r="AZ317" s="98"/>
    </row>
    <row r="318" spans="1:52" s="19" customFormat="1" ht="12.75" x14ac:dyDescent="0.2">
      <c r="A318" s="72" t="s">
        <v>143</v>
      </c>
      <c r="B318" s="72" t="s">
        <v>185</v>
      </c>
      <c r="C318" s="40"/>
      <c r="D318" s="40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0"/>
      <c r="R318" s="40"/>
      <c r="S318" s="40"/>
      <c r="T318" s="73">
        <v>51500</v>
      </c>
      <c r="U318" s="41"/>
      <c r="V318" s="149" t="s">
        <v>102</v>
      </c>
      <c r="W318" s="42"/>
      <c r="X318" s="42">
        <v>53.9</v>
      </c>
      <c r="Y318" s="46"/>
      <c r="Z318" s="43"/>
      <c r="AA318" s="40"/>
      <c r="AB318" s="40"/>
      <c r="AC318" s="43"/>
      <c r="AD318" s="43"/>
      <c r="AE318" s="43"/>
      <c r="AF318" s="43"/>
      <c r="AG318" s="75">
        <v>44832</v>
      </c>
      <c r="AH318" s="75">
        <v>44832</v>
      </c>
      <c r="AI318" s="77">
        <v>44908</v>
      </c>
      <c r="AJ318" s="77">
        <v>44915</v>
      </c>
      <c r="AK318" s="77">
        <v>44915</v>
      </c>
      <c r="AL318" s="134" t="s">
        <v>31</v>
      </c>
      <c r="AM318" s="73">
        <v>51500</v>
      </c>
      <c r="AN318" s="44"/>
      <c r="AO318" s="44"/>
      <c r="AP318" s="73">
        <v>50315</v>
      </c>
      <c r="AQ318" s="44"/>
      <c r="AR318" s="44"/>
      <c r="AS318" s="40"/>
      <c r="AT318" s="40"/>
      <c r="AU318" s="40"/>
      <c r="AV318" s="40"/>
      <c r="AW318" s="40"/>
      <c r="AX318" s="40"/>
      <c r="AY318" s="188"/>
      <c r="AZ318" s="98"/>
    </row>
    <row r="319" spans="1:52" s="19" customFormat="1" ht="12.75" x14ac:dyDescent="0.2">
      <c r="A319" s="72">
        <f>'[1]COMPLETED MOOE'!A648</f>
        <v>0</v>
      </c>
      <c r="B319" s="72" t="s">
        <v>197</v>
      </c>
      <c r="C319" s="40"/>
      <c r="D319" s="40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0"/>
      <c r="R319" s="40"/>
      <c r="S319" s="40"/>
      <c r="T319" s="73">
        <v>25900</v>
      </c>
      <c r="U319" s="41"/>
      <c r="V319" s="149" t="s">
        <v>102</v>
      </c>
      <c r="W319" s="42"/>
      <c r="X319" s="42">
        <v>53.9</v>
      </c>
      <c r="Y319" s="46"/>
      <c r="Z319" s="43"/>
      <c r="AA319" s="40"/>
      <c r="AB319" s="40"/>
      <c r="AC319" s="43"/>
      <c r="AD319" s="43"/>
      <c r="AE319" s="43"/>
      <c r="AF319" s="43"/>
      <c r="AG319" s="75">
        <v>44832</v>
      </c>
      <c r="AH319" s="75">
        <v>44832</v>
      </c>
      <c r="AI319" s="77">
        <v>44908</v>
      </c>
      <c r="AJ319" s="77">
        <v>44915</v>
      </c>
      <c r="AK319" s="77">
        <v>44915</v>
      </c>
      <c r="AL319" s="134" t="s">
        <v>31</v>
      </c>
      <c r="AM319" s="73">
        <v>25900</v>
      </c>
      <c r="AN319" s="44"/>
      <c r="AO319" s="44"/>
      <c r="AP319" s="73">
        <v>25685</v>
      </c>
      <c r="AQ319" s="44"/>
      <c r="AR319" s="44"/>
      <c r="AS319" s="40"/>
      <c r="AT319" s="40"/>
      <c r="AU319" s="40"/>
      <c r="AV319" s="40"/>
      <c r="AW319" s="40"/>
      <c r="AX319" s="40"/>
      <c r="AY319" s="188"/>
      <c r="AZ319" s="98"/>
    </row>
    <row r="320" spans="1:52" s="19" customFormat="1" ht="12.75" x14ac:dyDescent="0.2">
      <c r="A320" s="72" t="s">
        <v>137</v>
      </c>
      <c r="B320" s="72" t="s">
        <v>112</v>
      </c>
      <c r="C320" s="40"/>
      <c r="D320" s="40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0"/>
      <c r="R320" s="40"/>
      <c r="S320" s="40"/>
      <c r="T320" s="73">
        <v>20000</v>
      </c>
      <c r="U320" s="41"/>
      <c r="V320" s="149" t="s">
        <v>84</v>
      </c>
      <c r="W320" s="42"/>
      <c r="X320" s="42">
        <v>53.9</v>
      </c>
      <c r="Y320" s="46"/>
      <c r="Z320" s="43"/>
      <c r="AA320" s="40"/>
      <c r="AB320" s="40"/>
      <c r="AC320" s="43"/>
      <c r="AD320" s="43"/>
      <c r="AE320" s="43"/>
      <c r="AF320" s="43"/>
      <c r="AG320" s="75">
        <v>44832</v>
      </c>
      <c r="AH320" s="75">
        <v>44832</v>
      </c>
      <c r="AI320" s="77">
        <v>44907</v>
      </c>
      <c r="AJ320" s="77">
        <v>44914</v>
      </c>
      <c r="AK320" s="77">
        <v>44914</v>
      </c>
      <c r="AL320" s="134" t="s">
        <v>31</v>
      </c>
      <c r="AM320" s="73">
        <v>20000</v>
      </c>
      <c r="AN320" s="44"/>
      <c r="AO320" s="44"/>
      <c r="AP320" s="73">
        <v>19915</v>
      </c>
      <c r="AQ320" s="44"/>
      <c r="AR320" s="44"/>
      <c r="AS320" s="40"/>
      <c r="AT320" s="40"/>
      <c r="AU320" s="40"/>
      <c r="AV320" s="40"/>
      <c r="AW320" s="40"/>
      <c r="AX320" s="40"/>
      <c r="AY320" s="188"/>
      <c r="AZ320" s="98"/>
    </row>
    <row r="321" spans="1:52" s="19" customFormat="1" ht="12.75" x14ac:dyDescent="0.2">
      <c r="A321" s="72" t="s">
        <v>138</v>
      </c>
      <c r="B321" s="72" t="s">
        <v>197</v>
      </c>
      <c r="C321" s="40"/>
      <c r="D321" s="40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0"/>
      <c r="R321" s="40"/>
      <c r="S321" s="40"/>
      <c r="T321" s="73">
        <v>35000</v>
      </c>
      <c r="U321" s="41"/>
      <c r="V321" s="149" t="s">
        <v>84</v>
      </c>
      <c r="W321" s="42"/>
      <c r="X321" s="42">
        <v>53.9</v>
      </c>
      <c r="Y321" s="46"/>
      <c r="Z321" s="43"/>
      <c r="AA321" s="40"/>
      <c r="AB321" s="40"/>
      <c r="AC321" s="43"/>
      <c r="AD321" s="43"/>
      <c r="AE321" s="43"/>
      <c r="AF321" s="43"/>
      <c r="AG321" s="75">
        <v>44832</v>
      </c>
      <c r="AH321" s="75">
        <v>44832</v>
      </c>
      <c r="AI321" s="77">
        <v>44907</v>
      </c>
      <c r="AJ321" s="77">
        <v>44914</v>
      </c>
      <c r="AK321" s="77">
        <v>44914</v>
      </c>
      <c r="AL321" s="134" t="s">
        <v>31</v>
      </c>
      <c r="AM321" s="73">
        <v>35000</v>
      </c>
      <c r="AN321" s="44"/>
      <c r="AO321" s="44"/>
      <c r="AP321" s="73">
        <v>34680</v>
      </c>
      <c r="AQ321" s="44"/>
      <c r="AR321" s="44"/>
      <c r="AS321" s="40"/>
      <c r="AT321" s="40"/>
      <c r="AU321" s="40"/>
      <c r="AV321" s="40"/>
      <c r="AW321" s="40"/>
      <c r="AX321" s="40"/>
      <c r="AY321" s="188"/>
      <c r="AZ321" s="98"/>
    </row>
    <row r="322" spans="1:52" s="19" customFormat="1" ht="12.75" x14ac:dyDescent="0.2">
      <c r="A322" s="72" t="s">
        <v>137</v>
      </c>
      <c r="B322" s="72" t="s">
        <v>112</v>
      </c>
      <c r="C322" s="40"/>
      <c r="D322" s="40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0"/>
      <c r="R322" s="40"/>
      <c r="S322" s="40"/>
      <c r="T322" s="73">
        <v>64000</v>
      </c>
      <c r="U322" s="41"/>
      <c r="V322" s="145" t="s">
        <v>93</v>
      </c>
      <c r="W322" s="42"/>
      <c r="X322" s="42">
        <v>53.9</v>
      </c>
      <c r="Y322" s="46"/>
      <c r="Z322" s="43"/>
      <c r="AA322" s="40"/>
      <c r="AB322" s="40"/>
      <c r="AC322" s="43"/>
      <c r="AD322" s="43"/>
      <c r="AE322" s="43"/>
      <c r="AF322" s="43"/>
      <c r="AG322" s="75">
        <v>44832</v>
      </c>
      <c r="AH322" s="75">
        <v>44832</v>
      </c>
      <c r="AI322" s="78"/>
      <c r="AJ322" s="78"/>
      <c r="AK322" s="78"/>
      <c r="AL322" s="134" t="s">
        <v>31</v>
      </c>
      <c r="AM322" s="73">
        <v>64000</v>
      </c>
      <c r="AN322" s="44"/>
      <c r="AO322" s="44"/>
      <c r="AP322" s="73">
        <v>62408</v>
      </c>
      <c r="AQ322" s="44"/>
      <c r="AR322" s="44"/>
      <c r="AS322" s="40"/>
      <c r="AT322" s="40"/>
      <c r="AU322" s="40"/>
      <c r="AV322" s="40"/>
      <c r="AW322" s="40"/>
      <c r="AX322" s="40"/>
      <c r="AY322" s="188"/>
      <c r="AZ322" s="98"/>
    </row>
    <row r="323" spans="1:52" s="19" customFormat="1" ht="25.5" x14ac:dyDescent="0.2">
      <c r="A323" s="72" t="s">
        <v>139</v>
      </c>
      <c r="B323" s="72" t="s">
        <v>198</v>
      </c>
      <c r="C323" s="40"/>
      <c r="D323" s="40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0"/>
      <c r="R323" s="40"/>
      <c r="S323" s="40"/>
      <c r="T323" s="73">
        <v>60500</v>
      </c>
      <c r="U323" s="41"/>
      <c r="V323" s="147" t="s">
        <v>95</v>
      </c>
      <c r="W323" s="42"/>
      <c r="X323" s="42">
        <v>53.9</v>
      </c>
      <c r="Y323" s="46"/>
      <c r="Z323" s="43"/>
      <c r="AA323" s="40"/>
      <c r="AB323" s="40"/>
      <c r="AC323" s="43"/>
      <c r="AD323" s="43"/>
      <c r="AE323" s="43"/>
      <c r="AF323" s="43"/>
      <c r="AG323" s="75">
        <v>44838</v>
      </c>
      <c r="AH323" s="75">
        <v>44838</v>
      </c>
      <c r="AI323" s="78"/>
      <c r="AJ323" s="78"/>
      <c r="AK323" s="78"/>
      <c r="AL323" s="134" t="s">
        <v>31</v>
      </c>
      <c r="AM323" s="73">
        <v>60500</v>
      </c>
      <c r="AN323" s="44"/>
      <c r="AO323" s="44"/>
      <c r="AP323" s="73">
        <v>60275</v>
      </c>
      <c r="AQ323" s="44"/>
      <c r="AR323" s="44"/>
      <c r="AS323" s="40"/>
      <c r="AT323" s="40"/>
      <c r="AU323" s="40"/>
      <c r="AV323" s="40"/>
      <c r="AW323" s="40"/>
      <c r="AX323" s="40"/>
      <c r="AY323" s="188"/>
      <c r="AZ323" s="98"/>
    </row>
    <row r="324" spans="1:52" s="19" customFormat="1" ht="25.5" x14ac:dyDescent="0.2">
      <c r="A324" s="72" t="s">
        <v>147</v>
      </c>
      <c r="B324" s="72" t="s">
        <v>218</v>
      </c>
      <c r="C324" s="40"/>
      <c r="D324" s="40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0"/>
      <c r="R324" s="40"/>
      <c r="S324" s="40"/>
      <c r="T324" s="73">
        <v>40000</v>
      </c>
      <c r="U324" s="41"/>
      <c r="V324" s="147" t="s">
        <v>86</v>
      </c>
      <c r="W324" s="42"/>
      <c r="X324" s="42">
        <v>53.9</v>
      </c>
      <c r="Y324" s="46"/>
      <c r="Z324" s="43"/>
      <c r="AA324" s="40"/>
      <c r="AB324" s="40"/>
      <c r="AC324" s="43"/>
      <c r="AD324" s="43"/>
      <c r="AE324" s="43"/>
      <c r="AF324" s="43"/>
      <c r="AG324" s="75">
        <v>44841</v>
      </c>
      <c r="AH324" s="75">
        <v>44841</v>
      </c>
      <c r="AI324" s="77">
        <v>44909</v>
      </c>
      <c r="AJ324" s="77">
        <v>44916</v>
      </c>
      <c r="AK324" s="77">
        <v>44916</v>
      </c>
      <c r="AL324" s="134" t="s">
        <v>31</v>
      </c>
      <c r="AM324" s="73">
        <v>40000</v>
      </c>
      <c r="AN324" s="44"/>
      <c r="AO324" s="44"/>
      <c r="AP324" s="73">
        <v>39530</v>
      </c>
      <c r="AQ324" s="44"/>
      <c r="AR324" s="44"/>
      <c r="AS324" s="40"/>
      <c r="AT324" s="40"/>
      <c r="AU324" s="40"/>
      <c r="AV324" s="40"/>
      <c r="AW324" s="40"/>
      <c r="AX324" s="40"/>
      <c r="AY324" s="188"/>
      <c r="AZ324" s="98"/>
    </row>
    <row r="325" spans="1:52" s="19" customFormat="1" ht="25.5" x14ac:dyDescent="0.2">
      <c r="A325" s="72" t="s">
        <v>139</v>
      </c>
      <c r="B325" s="72" t="s">
        <v>198</v>
      </c>
      <c r="C325" s="40"/>
      <c r="D325" s="40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0"/>
      <c r="R325" s="40"/>
      <c r="S325" s="40"/>
      <c r="T325" s="73">
        <v>101750</v>
      </c>
      <c r="U325" s="41"/>
      <c r="V325" s="147" t="s">
        <v>98</v>
      </c>
      <c r="W325" s="42"/>
      <c r="X325" s="42">
        <v>53.9</v>
      </c>
      <c r="Y325" s="46"/>
      <c r="Z325" s="43"/>
      <c r="AA325" s="40"/>
      <c r="AB325" s="40"/>
      <c r="AC325" s="43"/>
      <c r="AD325" s="43"/>
      <c r="AE325" s="43"/>
      <c r="AF325" s="43"/>
      <c r="AG325" s="75">
        <v>44841</v>
      </c>
      <c r="AH325" s="75">
        <v>44841</v>
      </c>
      <c r="AI325" s="77">
        <v>44897</v>
      </c>
      <c r="AJ325" s="77">
        <v>44904</v>
      </c>
      <c r="AK325" s="77">
        <v>44904</v>
      </c>
      <c r="AL325" s="134" t="s">
        <v>31</v>
      </c>
      <c r="AM325" s="73">
        <v>101750</v>
      </c>
      <c r="AN325" s="44"/>
      <c r="AO325" s="44"/>
      <c r="AP325" s="73">
        <v>101290</v>
      </c>
      <c r="AQ325" s="44"/>
      <c r="AR325" s="44"/>
      <c r="AS325" s="40"/>
      <c r="AT325" s="40"/>
      <c r="AU325" s="40"/>
      <c r="AV325" s="40"/>
      <c r="AW325" s="40"/>
      <c r="AX325" s="40"/>
      <c r="AY325" s="188"/>
      <c r="AZ325" s="98"/>
    </row>
    <row r="326" spans="1:52" s="19" customFormat="1" ht="12.75" x14ac:dyDescent="0.2">
      <c r="A326" s="72" t="s">
        <v>142</v>
      </c>
      <c r="B326" s="72" t="s">
        <v>116</v>
      </c>
      <c r="C326" s="40"/>
      <c r="D326" s="40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0"/>
      <c r="R326" s="40"/>
      <c r="S326" s="40"/>
      <c r="T326" s="73">
        <v>225000</v>
      </c>
      <c r="U326" s="41"/>
      <c r="V326" s="147" t="s">
        <v>92</v>
      </c>
      <c r="W326" s="42"/>
      <c r="X326" s="42">
        <v>53.9</v>
      </c>
      <c r="Y326" s="46"/>
      <c r="Z326" s="43"/>
      <c r="AA326" s="40"/>
      <c r="AB326" s="40"/>
      <c r="AC326" s="43"/>
      <c r="AD326" s="43"/>
      <c r="AE326" s="43"/>
      <c r="AF326" s="43"/>
      <c r="AG326" s="75">
        <v>44841</v>
      </c>
      <c r="AH326" s="75">
        <v>44841</v>
      </c>
      <c r="AI326" s="77">
        <v>44886</v>
      </c>
      <c r="AJ326" s="77">
        <v>44893</v>
      </c>
      <c r="AK326" s="77">
        <v>44893</v>
      </c>
      <c r="AL326" s="134" t="s">
        <v>31</v>
      </c>
      <c r="AM326" s="73">
        <v>225000</v>
      </c>
      <c r="AN326" s="44"/>
      <c r="AO326" s="44"/>
      <c r="AP326" s="73">
        <v>224655</v>
      </c>
      <c r="AQ326" s="44"/>
      <c r="AR326" s="44"/>
      <c r="AS326" s="40"/>
      <c r="AT326" s="40"/>
      <c r="AU326" s="40"/>
      <c r="AV326" s="40"/>
      <c r="AW326" s="40"/>
      <c r="AX326" s="40"/>
      <c r="AY326" s="188"/>
      <c r="AZ326" s="98"/>
    </row>
    <row r="327" spans="1:52" s="19" customFormat="1" ht="12.75" x14ac:dyDescent="0.2">
      <c r="A327" s="72" t="s">
        <v>138</v>
      </c>
      <c r="B327" s="72" t="s">
        <v>197</v>
      </c>
      <c r="C327" s="40"/>
      <c r="D327" s="40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0"/>
      <c r="R327" s="40"/>
      <c r="S327" s="40"/>
      <c r="T327" s="73">
        <v>70000</v>
      </c>
      <c r="U327" s="41"/>
      <c r="V327" s="149" t="s">
        <v>98</v>
      </c>
      <c r="W327" s="42"/>
      <c r="X327" s="42">
        <v>53.9</v>
      </c>
      <c r="Y327" s="46"/>
      <c r="Z327" s="43"/>
      <c r="AA327" s="40"/>
      <c r="AB327" s="40"/>
      <c r="AC327" s="43"/>
      <c r="AD327" s="43"/>
      <c r="AE327" s="43"/>
      <c r="AF327" s="43"/>
      <c r="AG327" s="75">
        <v>44841</v>
      </c>
      <c r="AH327" s="75">
        <v>44841</v>
      </c>
      <c r="AI327" s="77">
        <v>44897</v>
      </c>
      <c r="AJ327" s="77">
        <v>44904</v>
      </c>
      <c r="AK327" s="77">
        <v>44904</v>
      </c>
      <c r="AL327" s="134" t="s">
        <v>31</v>
      </c>
      <c r="AM327" s="73">
        <v>70000</v>
      </c>
      <c r="AN327" s="44"/>
      <c r="AO327" s="44"/>
      <c r="AP327" s="73">
        <v>69816.5</v>
      </c>
      <c r="AQ327" s="44"/>
      <c r="AR327" s="44"/>
      <c r="AS327" s="40"/>
      <c r="AT327" s="40"/>
      <c r="AU327" s="40"/>
      <c r="AV327" s="40"/>
      <c r="AW327" s="40"/>
      <c r="AX327" s="40"/>
      <c r="AY327" s="188"/>
      <c r="AZ327" s="98"/>
    </row>
    <row r="328" spans="1:52" s="19" customFormat="1" ht="12.75" x14ac:dyDescent="0.2">
      <c r="A328" s="72" t="s">
        <v>138</v>
      </c>
      <c r="B328" s="72" t="s">
        <v>197</v>
      </c>
      <c r="C328" s="40"/>
      <c r="D328" s="40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0"/>
      <c r="R328" s="40"/>
      <c r="S328" s="40"/>
      <c r="T328" s="73">
        <v>20500</v>
      </c>
      <c r="U328" s="41"/>
      <c r="V328" s="149" t="s">
        <v>98</v>
      </c>
      <c r="W328" s="42"/>
      <c r="X328" s="42">
        <v>53.9</v>
      </c>
      <c r="Y328" s="46"/>
      <c r="Z328" s="43"/>
      <c r="AA328" s="40"/>
      <c r="AB328" s="40"/>
      <c r="AC328" s="43"/>
      <c r="AD328" s="43"/>
      <c r="AE328" s="43"/>
      <c r="AF328" s="43"/>
      <c r="AG328" s="75">
        <v>44841</v>
      </c>
      <c r="AH328" s="75">
        <v>44841</v>
      </c>
      <c r="AI328" s="77">
        <v>44897</v>
      </c>
      <c r="AJ328" s="77">
        <v>44904</v>
      </c>
      <c r="AK328" s="77">
        <v>44904</v>
      </c>
      <c r="AL328" s="134" t="s">
        <v>31</v>
      </c>
      <c r="AM328" s="73">
        <v>20500</v>
      </c>
      <c r="AN328" s="44"/>
      <c r="AO328" s="44"/>
      <c r="AP328" s="73">
        <v>20426.5</v>
      </c>
      <c r="AQ328" s="44"/>
      <c r="AR328" s="44"/>
      <c r="AS328" s="40"/>
      <c r="AT328" s="40"/>
      <c r="AU328" s="40"/>
      <c r="AV328" s="40"/>
      <c r="AW328" s="40"/>
      <c r="AX328" s="40"/>
      <c r="AY328" s="188"/>
      <c r="AZ328" s="98"/>
    </row>
    <row r="329" spans="1:52" s="19" customFormat="1" ht="12.75" x14ac:dyDescent="0.2">
      <c r="A329" s="72" t="s">
        <v>143</v>
      </c>
      <c r="B329" s="72" t="s">
        <v>185</v>
      </c>
      <c r="C329" s="40"/>
      <c r="D329" s="40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0"/>
      <c r="R329" s="40"/>
      <c r="S329" s="40"/>
      <c r="T329" s="73">
        <v>86500</v>
      </c>
      <c r="U329" s="41"/>
      <c r="V329" s="149" t="s">
        <v>98</v>
      </c>
      <c r="W329" s="42"/>
      <c r="X329" s="42">
        <v>53.9</v>
      </c>
      <c r="Y329" s="46"/>
      <c r="Z329" s="43"/>
      <c r="AA329" s="40"/>
      <c r="AB329" s="40"/>
      <c r="AC329" s="43"/>
      <c r="AD329" s="43"/>
      <c r="AE329" s="43"/>
      <c r="AF329" s="43"/>
      <c r="AG329" s="75">
        <v>44841</v>
      </c>
      <c r="AH329" s="75">
        <v>44841</v>
      </c>
      <c r="AI329" s="77">
        <v>44897</v>
      </c>
      <c r="AJ329" s="77">
        <v>44904</v>
      </c>
      <c r="AK329" s="77">
        <v>44904</v>
      </c>
      <c r="AL329" s="134" t="s">
        <v>31</v>
      </c>
      <c r="AM329" s="73">
        <v>86500</v>
      </c>
      <c r="AN329" s="44"/>
      <c r="AO329" s="44"/>
      <c r="AP329" s="73">
        <v>86190.5</v>
      </c>
      <c r="AQ329" s="44"/>
      <c r="AR329" s="44"/>
      <c r="AS329" s="40"/>
      <c r="AT329" s="40"/>
      <c r="AU329" s="40"/>
      <c r="AV329" s="40"/>
      <c r="AW329" s="40"/>
      <c r="AX329" s="40"/>
      <c r="AY329" s="188"/>
      <c r="AZ329" s="98"/>
    </row>
    <row r="330" spans="1:52" s="19" customFormat="1" ht="12.75" x14ac:dyDescent="0.2">
      <c r="A330" s="72" t="s">
        <v>137</v>
      </c>
      <c r="B330" s="72" t="s">
        <v>112</v>
      </c>
      <c r="C330" s="40"/>
      <c r="D330" s="40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0"/>
      <c r="R330" s="40"/>
      <c r="S330" s="40"/>
      <c r="T330" s="73">
        <v>55000</v>
      </c>
      <c r="U330" s="41"/>
      <c r="V330" s="149" t="s">
        <v>98</v>
      </c>
      <c r="W330" s="42"/>
      <c r="X330" s="42">
        <v>53.9</v>
      </c>
      <c r="Y330" s="46"/>
      <c r="Z330" s="43"/>
      <c r="AA330" s="40"/>
      <c r="AB330" s="40"/>
      <c r="AC330" s="43"/>
      <c r="AD330" s="43"/>
      <c r="AE330" s="43"/>
      <c r="AF330" s="43"/>
      <c r="AG330" s="75">
        <v>44841</v>
      </c>
      <c r="AH330" s="75">
        <v>44841</v>
      </c>
      <c r="AI330" s="77">
        <v>44897</v>
      </c>
      <c r="AJ330" s="77">
        <v>44904</v>
      </c>
      <c r="AK330" s="77">
        <v>44904</v>
      </c>
      <c r="AL330" s="134" t="s">
        <v>31</v>
      </c>
      <c r="AM330" s="73">
        <v>55000</v>
      </c>
      <c r="AN330" s="44"/>
      <c r="AO330" s="44"/>
      <c r="AP330" s="73">
        <v>54608.5</v>
      </c>
      <c r="AQ330" s="44"/>
      <c r="AR330" s="44"/>
      <c r="AS330" s="40"/>
      <c r="AT330" s="40"/>
      <c r="AU330" s="40"/>
      <c r="AV330" s="40"/>
      <c r="AW330" s="40"/>
      <c r="AX330" s="40"/>
      <c r="AY330" s="188"/>
      <c r="AZ330" s="98"/>
    </row>
    <row r="331" spans="1:52" s="19" customFormat="1" ht="12.75" x14ac:dyDescent="0.2">
      <c r="A331" s="72" t="s">
        <v>138</v>
      </c>
      <c r="B331" s="72" t="s">
        <v>197</v>
      </c>
      <c r="C331" s="40"/>
      <c r="D331" s="40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0"/>
      <c r="R331" s="40"/>
      <c r="S331" s="40"/>
      <c r="T331" s="73">
        <v>85500</v>
      </c>
      <c r="U331" s="41"/>
      <c r="V331" s="149" t="s">
        <v>98</v>
      </c>
      <c r="W331" s="42"/>
      <c r="X331" s="42">
        <v>53.9</v>
      </c>
      <c r="Y331" s="46"/>
      <c r="Z331" s="43"/>
      <c r="AA331" s="40"/>
      <c r="AB331" s="40"/>
      <c r="AC331" s="43"/>
      <c r="AD331" s="43"/>
      <c r="AE331" s="43"/>
      <c r="AF331" s="43"/>
      <c r="AG331" s="75">
        <v>44841</v>
      </c>
      <c r="AH331" s="75">
        <v>44841</v>
      </c>
      <c r="AI331" s="77">
        <v>44887</v>
      </c>
      <c r="AJ331" s="77">
        <v>44894</v>
      </c>
      <c r="AK331" s="77">
        <v>44894</v>
      </c>
      <c r="AL331" s="134" t="s">
        <v>31</v>
      </c>
      <c r="AM331" s="73">
        <v>85500</v>
      </c>
      <c r="AN331" s="44"/>
      <c r="AO331" s="44"/>
      <c r="AP331" s="73">
        <v>85231.5</v>
      </c>
      <c r="AQ331" s="44"/>
      <c r="AR331" s="44"/>
      <c r="AS331" s="40"/>
      <c r="AT331" s="40"/>
      <c r="AU331" s="40"/>
      <c r="AV331" s="40"/>
      <c r="AW331" s="40"/>
      <c r="AX331" s="40"/>
      <c r="AY331" s="188"/>
      <c r="AZ331" s="98"/>
    </row>
    <row r="332" spans="1:52" s="19" customFormat="1" ht="12.75" x14ac:dyDescent="0.2">
      <c r="A332" s="146" t="s">
        <v>143</v>
      </c>
      <c r="B332" s="72" t="s">
        <v>185</v>
      </c>
      <c r="C332" s="40"/>
      <c r="D332" s="40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0"/>
      <c r="R332" s="40"/>
      <c r="S332" s="40"/>
      <c r="T332" s="73">
        <v>5000</v>
      </c>
      <c r="U332" s="41"/>
      <c r="V332" s="149" t="s">
        <v>98</v>
      </c>
      <c r="W332" s="42"/>
      <c r="X332" s="42">
        <v>53.9</v>
      </c>
      <c r="Y332" s="46"/>
      <c r="Z332" s="43"/>
      <c r="AA332" s="40"/>
      <c r="AB332" s="40"/>
      <c r="AC332" s="43"/>
      <c r="AD332" s="43"/>
      <c r="AE332" s="43"/>
      <c r="AF332" s="43"/>
      <c r="AG332" s="75">
        <v>44841</v>
      </c>
      <c r="AH332" s="75">
        <v>44841</v>
      </c>
      <c r="AI332" s="77">
        <v>44887</v>
      </c>
      <c r="AJ332" s="77">
        <v>44894</v>
      </c>
      <c r="AK332" s="77">
        <v>44894</v>
      </c>
      <c r="AL332" s="134" t="s">
        <v>31</v>
      </c>
      <c r="AM332" s="73">
        <v>5000</v>
      </c>
      <c r="AN332" s="44"/>
      <c r="AO332" s="44"/>
      <c r="AP332" s="73">
        <v>4981.5</v>
      </c>
      <c r="AQ332" s="44"/>
      <c r="AR332" s="44"/>
      <c r="AS332" s="40"/>
      <c r="AT332" s="40"/>
      <c r="AU332" s="40"/>
      <c r="AV332" s="40"/>
      <c r="AW332" s="40"/>
      <c r="AX332" s="40"/>
      <c r="AY332" s="188"/>
      <c r="AZ332" s="98"/>
    </row>
    <row r="333" spans="1:52" s="19" customFormat="1" ht="12.75" x14ac:dyDescent="0.2">
      <c r="A333" s="72" t="s">
        <v>137</v>
      </c>
      <c r="B333" s="72" t="s">
        <v>112</v>
      </c>
      <c r="C333" s="40"/>
      <c r="D333" s="40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0"/>
      <c r="R333" s="40"/>
      <c r="S333" s="40"/>
      <c r="T333" s="73">
        <v>20000</v>
      </c>
      <c r="U333" s="41"/>
      <c r="V333" s="149" t="s">
        <v>98</v>
      </c>
      <c r="W333" s="42"/>
      <c r="X333" s="42">
        <v>53.9</v>
      </c>
      <c r="Y333" s="46"/>
      <c r="Z333" s="43"/>
      <c r="AA333" s="40"/>
      <c r="AB333" s="40"/>
      <c r="AC333" s="43"/>
      <c r="AD333" s="43"/>
      <c r="AE333" s="43"/>
      <c r="AF333" s="43"/>
      <c r="AG333" s="75">
        <v>44841</v>
      </c>
      <c r="AH333" s="75">
        <v>44841</v>
      </c>
      <c r="AI333" s="77">
        <v>44887</v>
      </c>
      <c r="AJ333" s="77">
        <v>44894</v>
      </c>
      <c r="AK333" s="77">
        <v>44894</v>
      </c>
      <c r="AL333" s="134" t="s">
        <v>31</v>
      </c>
      <c r="AM333" s="73">
        <v>20000</v>
      </c>
      <c r="AN333" s="44"/>
      <c r="AO333" s="44"/>
      <c r="AP333" s="73">
        <v>19883</v>
      </c>
      <c r="AQ333" s="44"/>
      <c r="AR333" s="44"/>
      <c r="AS333" s="40"/>
      <c r="AT333" s="40"/>
      <c r="AU333" s="40"/>
      <c r="AV333" s="40"/>
      <c r="AW333" s="40"/>
      <c r="AX333" s="40"/>
      <c r="AY333" s="188"/>
      <c r="AZ333" s="98"/>
    </row>
    <row r="334" spans="1:52" s="19" customFormat="1" ht="12.75" x14ac:dyDescent="0.2">
      <c r="A334" s="72" t="s">
        <v>150</v>
      </c>
      <c r="B334" s="72" t="s">
        <v>188</v>
      </c>
      <c r="C334" s="40"/>
      <c r="D334" s="40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0"/>
      <c r="R334" s="40"/>
      <c r="S334" s="40"/>
      <c r="T334" s="73">
        <v>12000</v>
      </c>
      <c r="U334" s="41"/>
      <c r="V334" s="149" t="s">
        <v>98</v>
      </c>
      <c r="W334" s="42"/>
      <c r="X334" s="42">
        <v>53.9</v>
      </c>
      <c r="Y334" s="46"/>
      <c r="Z334" s="43"/>
      <c r="AA334" s="40"/>
      <c r="AB334" s="40"/>
      <c r="AC334" s="43"/>
      <c r="AD334" s="43"/>
      <c r="AE334" s="43"/>
      <c r="AF334" s="43"/>
      <c r="AG334" s="75">
        <v>44841</v>
      </c>
      <c r="AH334" s="75">
        <v>44841</v>
      </c>
      <c r="AI334" s="77">
        <v>44887</v>
      </c>
      <c r="AJ334" s="77">
        <v>44894</v>
      </c>
      <c r="AK334" s="77">
        <v>44894</v>
      </c>
      <c r="AL334" s="134" t="s">
        <v>31</v>
      </c>
      <c r="AM334" s="73">
        <v>12000</v>
      </c>
      <c r="AN334" s="44"/>
      <c r="AO334" s="44"/>
      <c r="AP334" s="73">
        <v>11976</v>
      </c>
      <c r="AQ334" s="44"/>
      <c r="AR334" s="44"/>
      <c r="AS334" s="40"/>
      <c r="AT334" s="40"/>
      <c r="AU334" s="40"/>
      <c r="AV334" s="40"/>
      <c r="AW334" s="40"/>
      <c r="AX334" s="40"/>
      <c r="AY334" s="188"/>
      <c r="AZ334" s="98"/>
    </row>
    <row r="335" spans="1:52" s="19" customFormat="1" ht="12.75" x14ac:dyDescent="0.2">
      <c r="A335" s="72" t="s">
        <v>136</v>
      </c>
      <c r="B335" s="72" t="s">
        <v>189</v>
      </c>
      <c r="C335" s="40"/>
      <c r="D335" s="40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0"/>
      <c r="R335" s="40"/>
      <c r="S335" s="40"/>
      <c r="T335" s="73">
        <v>6000</v>
      </c>
      <c r="U335" s="41"/>
      <c r="V335" s="149" t="s">
        <v>98</v>
      </c>
      <c r="W335" s="42"/>
      <c r="X335" s="42">
        <v>53.9</v>
      </c>
      <c r="Y335" s="46"/>
      <c r="Z335" s="43"/>
      <c r="AA335" s="40"/>
      <c r="AB335" s="40"/>
      <c r="AC335" s="43"/>
      <c r="AD335" s="43"/>
      <c r="AE335" s="43"/>
      <c r="AF335" s="43"/>
      <c r="AG335" s="75">
        <v>44841</v>
      </c>
      <c r="AH335" s="75">
        <v>44841</v>
      </c>
      <c r="AI335" s="77">
        <v>44887</v>
      </c>
      <c r="AJ335" s="77">
        <v>44894</v>
      </c>
      <c r="AK335" s="77">
        <v>44894</v>
      </c>
      <c r="AL335" s="134" t="s">
        <v>31</v>
      </c>
      <c r="AM335" s="73">
        <v>6000</v>
      </c>
      <c r="AN335" s="44"/>
      <c r="AO335" s="44"/>
      <c r="AP335" s="73">
        <v>5988</v>
      </c>
      <c r="AQ335" s="44"/>
      <c r="AR335" s="44"/>
      <c r="AS335" s="40"/>
      <c r="AT335" s="40"/>
      <c r="AU335" s="40"/>
      <c r="AV335" s="40"/>
      <c r="AW335" s="40"/>
      <c r="AX335" s="40"/>
      <c r="AY335" s="188"/>
      <c r="AZ335" s="98"/>
    </row>
    <row r="336" spans="1:52" s="19" customFormat="1" ht="12.75" x14ac:dyDescent="0.2">
      <c r="A336" s="72" t="s">
        <v>146</v>
      </c>
      <c r="B336" s="72" t="s">
        <v>217</v>
      </c>
      <c r="C336" s="40"/>
      <c r="D336" s="40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0"/>
      <c r="R336" s="40"/>
      <c r="S336" s="40"/>
      <c r="T336" s="73">
        <v>86000</v>
      </c>
      <c r="U336" s="41"/>
      <c r="V336" s="147" t="s">
        <v>83</v>
      </c>
      <c r="W336" s="42"/>
      <c r="X336" s="42">
        <v>53.9</v>
      </c>
      <c r="Y336" s="46"/>
      <c r="Z336" s="43"/>
      <c r="AA336" s="40"/>
      <c r="AB336" s="40"/>
      <c r="AC336" s="43"/>
      <c r="AD336" s="43"/>
      <c r="AE336" s="43"/>
      <c r="AF336" s="43"/>
      <c r="AG336" s="75">
        <v>44844</v>
      </c>
      <c r="AH336" s="75">
        <v>44844</v>
      </c>
      <c r="AI336" s="77">
        <v>44909</v>
      </c>
      <c r="AJ336" s="77">
        <v>44915</v>
      </c>
      <c r="AK336" s="77">
        <v>44915</v>
      </c>
      <c r="AL336" s="134" t="s">
        <v>31</v>
      </c>
      <c r="AM336" s="73">
        <v>86000</v>
      </c>
      <c r="AN336" s="44"/>
      <c r="AO336" s="44"/>
      <c r="AP336" s="73">
        <v>85175</v>
      </c>
      <c r="AQ336" s="44"/>
      <c r="AR336" s="44"/>
      <c r="AS336" s="40"/>
      <c r="AT336" s="40"/>
      <c r="AU336" s="40"/>
      <c r="AV336" s="40"/>
      <c r="AW336" s="40"/>
      <c r="AX336" s="40"/>
      <c r="AY336" s="188"/>
      <c r="AZ336" s="98"/>
    </row>
    <row r="337" spans="1:52" s="19" customFormat="1" ht="12.75" x14ac:dyDescent="0.2">
      <c r="A337" s="72" t="s">
        <v>152</v>
      </c>
      <c r="B337" s="72" t="s">
        <v>124</v>
      </c>
      <c r="C337" s="40"/>
      <c r="D337" s="40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0"/>
      <c r="R337" s="40"/>
      <c r="S337" s="40"/>
      <c r="T337" s="73">
        <v>5630</v>
      </c>
      <c r="U337" s="41"/>
      <c r="V337" s="149" t="s">
        <v>83</v>
      </c>
      <c r="W337" s="42"/>
      <c r="X337" s="42">
        <v>53.9</v>
      </c>
      <c r="Y337" s="46"/>
      <c r="Z337" s="43"/>
      <c r="AA337" s="40"/>
      <c r="AB337" s="40"/>
      <c r="AC337" s="43"/>
      <c r="AD337" s="43"/>
      <c r="AE337" s="43"/>
      <c r="AF337" s="43"/>
      <c r="AG337" s="75">
        <v>44844</v>
      </c>
      <c r="AH337" s="75">
        <v>44844</v>
      </c>
      <c r="AI337" s="77">
        <v>44901</v>
      </c>
      <c r="AJ337" s="77">
        <v>44908</v>
      </c>
      <c r="AK337" s="77">
        <v>44908</v>
      </c>
      <c r="AL337" s="134" t="s">
        <v>31</v>
      </c>
      <c r="AM337" s="73">
        <v>5630</v>
      </c>
      <c r="AN337" s="44"/>
      <c r="AO337" s="44"/>
      <c r="AP337" s="73">
        <v>5615</v>
      </c>
      <c r="AQ337" s="44"/>
      <c r="AR337" s="44"/>
      <c r="AS337" s="40"/>
      <c r="AT337" s="40"/>
      <c r="AU337" s="40"/>
      <c r="AV337" s="40"/>
      <c r="AW337" s="40"/>
      <c r="AX337" s="40"/>
      <c r="AY337" s="188"/>
      <c r="AZ337" s="98"/>
    </row>
    <row r="338" spans="1:52" s="19" customFormat="1" ht="12.75" x14ac:dyDescent="0.2">
      <c r="A338" s="72" t="s">
        <v>152</v>
      </c>
      <c r="B338" s="72" t="s">
        <v>124</v>
      </c>
      <c r="C338" s="40"/>
      <c r="D338" s="40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0"/>
      <c r="R338" s="40"/>
      <c r="S338" s="40"/>
      <c r="T338" s="73">
        <v>1700</v>
      </c>
      <c r="U338" s="41"/>
      <c r="V338" s="149" t="s">
        <v>83</v>
      </c>
      <c r="W338" s="42"/>
      <c r="X338" s="42">
        <v>53.9</v>
      </c>
      <c r="Y338" s="46"/>
      <c r="Z338" s="43"/>
      <c r="AA338" s="40"/>
      <c r="AB338" s="40"/>
      <c r="AC338" s="43"/>
      <c r="AD338" s="43"/>
      <c r="AE338" s="43"/>
      <c r="AF338" s="43"/>
      <c r="AG338" s="75">
        <v>44844</v>
      </c>
      <c r="AH338" s="75">
        <v>44844</v>
      </c>
      <c r="AI338" s="77">
        <v>44901</v>
      </c>
      <c r="AJ338" s="77">
        <v>44908</v>
      </c>
      <c r="AK338" s="77">
        <v>44908</v>
      </c>
      <c r="AL338" s="134" t="s">
        <v>31</v>
      </c>
      <c r="AM338" s="73">
        <v>1700</v>
      </c>
      <c r="AN338" s="44"/>
      <c r="AO338" s="44"/>
      <c r="AP338" s="73">
        <v>1697</v>
      </c>
      <c r="AQ338" s="44"/>
      <c r="AR338" s="44"/>
      <c r="AS338" s="40"/>
      <c r="AT338" s="40"/>
      <c r="AU338" s="40"/>
      <c r="AV338" s="40"/>
      <c r="AW338" s="40"/>
      <c r="AX338" s="40"/>
      <c r="AY338" s="188"/>
      <c r="AZ338" s="98"/>
    </row>
    <row r="339" spans="1:52" s="19" customFormat="1" ht="12.75" x14ac:dyDescent="0.2">
      <c r="A339" s="72" t="s">
        <v>137</v>
      </c>
      <c r="B339" s="72" t="s">
        <v>112</v>
      </c>
      <c r="C339" s="40"/>
      <c r="D339" s="40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0"/>
      <c r="R339" s="40"/>
      <c r="S339" s="40"/>
      <c r="T339" s="73">
        <v>63225</v>
      </c>
      <c r="U339" s="41"/>
      <c r="V339" s="147" t="s">
        <v>83</v>
      </c>
      <c r="W339" s="42"/>
      <c r="X339" s="42">
        <v>53.9</v>
      </c>
      <c r="Y339" s="46"/>
      <c r="Z339" s="43"/>
      <c r="AA339" s="40"/>
      <c r="AB339" s="40"/>
      <c r="AC339" s="43"/>
      <c r="AD339" s="43"/>
      <c r="AE339" s="43"/>
      <c r="AF339" s="43"/>
      <c r="AG339" s="75">
        <v>44844</v>
      </c>
      <c r="AH339" s="75">
        <v>44844</v>
      </c>
      <c r="AI339" s="78"/>
      <c r="AJ339" s="78"/>
      <c r="AK339" s="78"/>
      <c r="AL339" s="134" t="s">
        <v>31</v>
      </c>
      <c r="AM339" s="73">
        <v>63225</v>
      </c>
      <c r="AN339" s="44"/>
      <c r="AO339" s="44"/>
      <c r="AP339" s="73">
        <v>61130</v>
      </c>
      <c r="AQ339" s="44"/>
      <c r="AR339" s="44"/>
      <c r="AS339" s="40"/>
      <c r="AT339" s="40"/>
      <c r="AU339" s="40"/>
      <c r="AV339" s="40"/>
      <c r="AW339" s="40"/>
      <c r="AX339" s="40"/>
      <c r="AY339" s="188"/>
      <c r="AZ339" s="98"/>
    </row>
    <row r="340" spans="1:52" s="19" customFormat="1" ht="25.5" x14ac:dyDescent="0.2">
      <c r="A340" s="72" t="s">
        <v>139</v>
      </c>
      <c r="B340" s="72" t="s">
        <v>198</v>
      </c>
      <c r="C340" s="40"/>
      <c r="D340" s="40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0"/>
      <c r="R340" s="40"/>
      <c r="S340" s="40"/>
      <c r="T340" s="73">
        <v>17480</v>
      </c>
      <c r="U340" s="41"/>
      <c r="V340" s="149" t="s">
        <v>83</v>
      </c>
      <c r="W340" s="42"/>
      <c r="X340" s="42">
        <v>53.9</v>
      </c>
      <c r="Y340" s="46"/>
      <c r="Z340" s="43"/>
      <c r="AA340" s="40"/>
      <c r="AB340" s="40"/>
      <c r="AC340" s="43"/>
      <c r="AD340" s="43"/>
      <c r="AE340" s="43"/>
      <c r="AF340" s="43"/>
      <c r="AG340" s="75">
        <v>44844</v>
      </c>
      <c r="AH340" s="75">
        <v>44844</v>
      </c>
      <c r="AI340" s="77">
        <v>44888</v>
      </c>
      <c r="AJ340" s="77">
        <v>44894</v>
      </c>
      <c r="AK340" s="77">
        <v>44894</v>
      </c>
      <c r="AL340" s="134" t="s">
        <v>31</v>
      </c>
      <c r="AM340" s="73">
        <v>17480</v>
      </c>
      <c r="AN340" s="44"/>
      <c r="AO340" s="44"/>
      <c r="AP340" s="73">
        <v>17243</v>
      </c>
      <c r="AQ340" s="44"/>
      <c r="AR340" s="44"/>
      <c r="AS340" s="40"/>
      <c r="AT340" s="40"/>
      <c r="AU340" s="40"/>
      <c r="AV340" s="40"/>
      <c r="AW340" s="40"/>
      <c r="AX340" s="40"/>
      <c r="AY340" s="188"/>
      <c r="AZ340" s="98"/>
    </row>
    <row r="341" spans="1:52" s="19" customFormat="1" ht="25.5" x14ac:dyDescent="0.2">
      <c r="A341" s="72" t="s">
        <v>219</v>
      </c>
      <c r="B341" s="72" t="s">
        <v>198</v>
      </c>
      <c r="C341" s="40"/>
      <c r="D341" s="40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0"/>
      <c r="R341" s="40"/>
      <c r="S341" s="40"/>
      <c r="T341" s="73">
        <v>33820</v>
      </c>
      <c r="U341" s="41"/>
      <c r="V341" s="149" t="s">
        <v>83</v>
      </c>
      <c r="W341" s="42"/>
      <c r="X341" s="42">
        <v>53.9</v>
      </c>
      <c r="Y341" s="46"/>
      <c r="Z341" s="43"/>
      <c r="AA341" s="40"/>
      <c r="AB341" s="40"/>
      <c r="AC341" s="43"/>
      <c r="AD341" s="43"/>
      <c r="AE341" s="43"/>
      <c r="AF341" s="43"/>
      <c r="AG341" s="75">
        <v>44844</v>
      </c>
      <c r="AH341" s="75">
        <v>44844</v>
      </c>
      <c r="AI341" s="78"/>
      <c r="AJ341" s="78"/>
      <c r="AK341" s="78"/>
      <c r="AL341" s="134" t="s">
        <v>31</v>
      </c>
      <c r="AM341" s="73">
        <v>33820</v>
      </c>
      <c r="AN341" s="44"/>
      <c r="AO341" s="44"/>
      <c r="AP341" s="73">
        <v>33319</v>
      </c>
      <c r="AQ341" s="44"/>
      <c r="AR341" s="44"/>
      <c r="AS341" s="40"/>
      <c r="AT341" s="40"/>
      <c r="AU341" s="40"/>
      <c r="AV341" s="40"/>
      <c r="AW341" s="40"/>
      <c r="AX341" s="40"/>
      <c r="AY341" s="188"/>
      <c r="AZ341" s="98"/>
    </row>
    <row r="342" spans="1:52" s="19" customFormat="1" ht="12.75" x14ac:dyDescent="0.2">
      <c r="A342" s="72" t="s">
        <v>143</v>
      </c>
      <c r="B342" s="72" t="s">
        <v>185</v>
      </c>
      <c r="C342" s="40"/>
      <c r="D342" s="40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0"/>
      <c r="R342" s="40"/>
      <c r="S342" s="40"/>
      <c r="T342" s="73">
        <v>87375</v>
      </c>
      <c r="U342" s="41"/>
      <c r="V342" s="147" t="s">
        <v>88</v>
      </c>
      <c r="W342" s="42"/>
      <c r="X342" s="42">
        <v>53.9</v>
      </c>
      <c r="Y342" s="46"/>
      <c r="Z342" s="43"/>
      <c r="AA342" s="40"/>
      <c r="AB342" s="40"/>
      <c r="AC342" s="43"/>
      <c r="AD342" s="43"/>
      <c r="AE342" s="43"/>
      <c r="AF342" s="43"/>
      <c r="AG342" s="75">
        <v>44844</v>
      </c>
      <c r="AH342" s="75">
        <v>44844</v>
      </c>
      <c r="AI342" s="78"/>
      <c r="AJ342" s="78"/>
      <c r="AK342" s="78"/>
      <c r="AL342" s="134" t="s">
        <v>31</v>
      </c>
      <c r="AM342" s="73">
        <v>87375</v>
      </c>
      <c r="AN342" s="44"/>
      <c r="AO342" s="44"/>
      <c r="AP342" s="73">
        <v>86636</v>
      </c>
      <c r="AQ342" s="44"/>
      <c r="AR342" s="44"/>
      <c r="AS342" s="40"/>
      <c r="AT342" s="40"/>
      <c r="AU342" s="40"/>
      <c r="AV342" s="40"/>
      <c r="AW342" s="40"/>
      <c r="AX342" s="40"/>
      <c r="AY342" s="188"/>
      <c r="AZ342" s="98"/>
    </row>
    <row r="343" spans="1:52" s="19" customFormat="1" ht="25.5" x14ac:dyDescent="0.2">
      <c r="A343" s="72" t="s">
        <v>139</v>
      </c>
      <c r="B343" s="72" t="s">
        <v>198</v>
      </c>
      <c r="C343" s="40"/>
      <c r="D343" s="40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0"/>
      <c r="R343" s="40"/>
      <c r="S343" s="40"/>
      <c r="T343" s="73">
        <v>101600</v>
      </c>
      <c r="U343" s="41"/>
      <c r="V343" s="147" t="s">
        <v>88</v>
      </c>
      <c r="W343" s="42"/>
      <c r="X343" s="42">
        <v>53.9</v>
      </c>
      <c r="Y343" s="46"/>
      <c r="Z343" s="43"/>
      <c r="AA343" s="40"/>
      <c r="AB343" s="40"/>
      <c r="AC343" s="43"/>
      <c r="AD343" s="43"/>
      <c r="AE343" s="43"/>
      <c r="AF343" s="43"/>
      <c r="AG343" s="75">
        <v>44844</v>
      </c>
      <c r="AH343" s="75">
        <v>44844</v>
      </c>
      <c r="AI343" s="78"/>
      <c r="AJ343" s="78"/>
      <c r="AK343" s="78"/>
      <c r="AL343" s="134" t="s">
        <v>31</v>
      </c>
      <c r="AM343" s="73">
        <v>101600</v>
      </c>
      <c r="AN343" s="44"/>
      <c r="AO343" s="44"/>
      <c r="AP343" s="73">
        <v>100645</v>
      </c>
      <c r="AQ343" s="44"/>
      <c r="AR343" s="44"/>
      <c r="AS343" s="40"/>
      <c r="AT343" s="40"/>
      <c r="AU343" s="40"/>
      <c r="AV343" s="40"/>
      <c r="AW343" s="40"/>
      <c r="AX343" s="40"/>
      <c r="AY343" s="188"/>
      <c r="AZ343" s="98"/>
    </row>
    <row r="344" spans="1:52" s="19" customFormat="1" ht="12.75" x14ac:dyDescent="0.2">
      <c r="A344" s="72" t="s">
        <v>136</v>
      </c>
      <c r="B344" s="72" t="s">
        <v>188</v>
      </c>
      <c r="C344" s="40"/>
      <c r="D344" s="40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0"/>
      <c r="R344" s="40"/>
      <c r="S344" s="40"/>
      <c r="T344" s="73">
        <v>61100</v>
      </c>
      <c r="U344" s="41"/>
      <c r="V344" s="147" t="s">
        <v>88</v>
      </c>
      <c r="W344" s="42"/>
      <c r="X344" s="42">
        <v>53.9</v>
      </c>
      <c r="Y344" s="46"/>
      <c r="Z344" s="43"/>
      <c r="AA344" s="40"/>
      <c r="AB344" s="40"/>
      <c r="AC344" s="43"/>
      <c r="AD344" s="43"/>
      <c r="AE344" s="43"/>
      <c r="AF344" s="43"/>
      <c r="AG344" s="75">
        <v>44844</v>
      </c>
      <c r="AH344" s="75">
        <v>44844</v>
      </c>
      <c r="AI344" s="77">
        <v>44914</v>
      </c>
      <c r="AJ344" s="77">
        <v>44918</v>
      </c>
      <c r="AK344" s="77">
        <v>44918</v>
      </c>
      <c r="AL344" s="134" t="s">
        <v>31</v>
      </c>
      <c r="AM344" s="73">
        <v>61100</v>
      </c>
      <c r="AN344" s="44"/>
      <c r="AO344" s="44"/>
      <c r="AP344" s="73">
        <v>60690</v>
      </c>
      <c r="AQ344" s="44"/>
      <c r="AR344" s="44"/>
      <c r="AS344" s="40"/>
      <c r="AT344" s="40"/>
      <c r="AU344" s="40"/>
      <c r="AV344" s="40"/>
      <c r="AW344" s="40"/>
      <c r="AX344" s="40"/>
      <c r="AY344" s="188"/>
      <c r="AZ344" s="98"/>
    </row>
    <row r="345" spans="1:52" s="19" customFormat="1" ht="12.75" x14ac:dyDescent="0.2">
      <c r="A345" s="72" t="s">
        <v>146</v>
      </c>
      <c r="B345" s="72" t="s">
        <v>217</v>
      </c>
      <c r="C345" s="40"/>
      <c r="D345" s="40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0"/>
      <c r="R345" s="40"/>
      <c r="S345" s="40"/>
      <c r="T345" s="73">
        <v>256500</v>
      </c>
      <c r="U345" s="41"/>
      <c r="V345" s="147" t="s">
        <v>104</v>
      </c>
      <c r="W345" s="42"/>
      <c r="X345" s="42">
        <v>53.9</v>
      </c>
      <c r="Y345" s="46"/>
      <c r="Z345" s="43"/>
      <c r="AA345" s="40"/>
      <c r="AB345" s="40"/>
      <c r="AC345" s="43"/>
      <c r="AD345" s="43"/>
      <c r="AE345" s="43"/>
      <c r="AF345" s="43"/>
      <c r="AG345" s="75">
        <v>44844</v>
      </c>
      <c r="AH345" s="75">
        <v>44844</v>
      </c>
      <c r="AI345" s="78"/>
      <c r="AJ345" s="78"/>
      <c r="AK345" s="78"/>
      <c r="AL345" s="134" t="s">
        <v>31</v>
      </c>
      <c r="AM345" s="73">
        <v>256500</v>
      </c>
      <c r="AN345" s="44"/>
      <c r="AO345" s="44"/>
      <c r="AP345" s="73">
        <v>255230</v>
      </c>
      <c r="AQ345" s="44"/>
      <c r="AR345" s="44"/>
      <c r="AS345" s="40"/>
      <c r="AT345" s="40"/>
      <c r="AU345" s="40"/>
      <c r="AV345" s="40"/>
      <c r="AW345" s="40"/>
      <c r="AX345" s="40"/>
      <c r="AY345" s="188"/>
      <c r="AZ345" s="98"/>
    </row>
    <row r="346" spans="1:52" s="19" customFormat="1" ht="12.75" x14ac:dyDescent="0.2">
      <c r="A346" s="72" t="s">
        <v>141</v>
      </c>
      <c r="B346" s="72" t="s">
        <v>130</v>
      </c>
      <c r="C346" s="40"/>
      <c r="D346" s="40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0"/>
      <c r="R346" s="40"/>
      <c r="S346" s="40"/>
      <c r="T346" s="73">
        <v>80000</v>
      </c>
      <c r="U346" s="41"/>
      <c r="V346" s="147" t="s">
        <v>95</v>
      </c>
      <c r="W346" s="42"/>
      <c r="X346" s="42">
        <v>53.9</v>
      </c>
      <c r="Y346" s="46"/>
      <c r="Z346" s="43"/>
      <c r="AA346" s="40"/>
      <c r="AB346" s="40"/>
      <c r="AC346" s="43"/>
      <c r="AD346" s="43"/>
      <c r="AE346" s="43"/>
      <c r="AF346" s="43"/>
      <c r="AG346" s="75">
        <v>44844</v>
      </c>
      <c r="AH346" s="75">
        <v>44844</v>
      </c>
      <c r="AI346" s="77">
        <v>44907</v>
      </c>
      <c r="AJ346" s="77">
        <v>44914</v>
      </c>
      <c r="AK346" s="77">
        <v>44914</v>
      </c>
      <c r="AL346" s="134" t="s">
        <v>31</v>
      </c>
      <c r="AM346" s="73">
        <v>80000</v>
      </c>
      <c r="AN346" s="44"/>
      <c r="AO346" s="44"/>
      <c r="AP346" s="73">
        <v>79690</v>
      </c>
      <c r="AQ346" s="44"/>
      <c r="AR346" s="44"/>
      <c r="AS346" s="40"/>
      <c r="AT346" s="40"/>
      <c r="AU346" s="40"/>
      <c r="AV346" s="40"/>
      <c r="AW346" s="40"/>
      <c r="AX346" s="40"/>
      <c r="AY346" s="188"/>
      <c r="AZ346" s="98"/>
    </row>
    <row r="347" spans="1:52" s="19" customFormat="1" ht="12.75" x14ac:dyDescent="0.2">
      <c r="A347" s="72" t="s">
        <v>137</v>
      </c>
      <c r="B347" s="72" t="s">
        <v>112</v>
      </c>
      <c r="C347" s="40"/>
      <c r="D347" s="40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0"/>
      <c r="R347" s="40"/>
      <c r="S347" s="40"/>
      <c r="T347" s="73">
        <v>124800</v>
      </c>
      <c r="U347" s="41"/>
      <c r="V347" s="149" t="s">
        <v>95</v>
      </c>
      <c r="W347" s="42"/>
      <c r="X347" s="42">
        <v>53.9</v>
      </c>
      <c r="Y347" s="46"/>
      <c r="Z347" s="43"/>
      <c r="AA347" s="40"/>
      <c r="AB347" s="40"/>
      <c r="AC347" s="43"/>
      <c r="AD347" s="43"/>
      <c r="AE347" s="43"/>
      <c r="AF347" s="43"/>
      <c r="AG347" s="75">
        <v>44844</v>
      </c>
      <c r="AH347" s="75">
        <v>44844</v>
      </c>
      <c r="AI347" s="78"/>
      <c r="AJ347" s="78"/>
      <c r="AK347" s="78"/>
      <c r="AL347" s="134" t="s">
        <v>31</v>
      </c>
      <c r="AM347" s="73">
        <v>124800</v>
      </c>
      <c r="AN347" s="44"/>
      <c r="AO347" s="44"/>
      <c r="AP347" s="73">
        <v>124738</v>
      </c>
      <c r="AQ347" s="44"/>
      <c r="AR347" s="44"/>
      <c r="AS347" s="40"/>
      <c r="AT347" s="40"/>
      <c r="AU347" s="40"/>
      <c r="AV347" s="40"/>
      <c r="AW347" s="40"/>
      <c r="AX347" s="40"/>
      <c r="AY347" s="188"/>
      <c r="AZ347" s="98"/>
    </row>
    <row r="348" spans="1:52" s="19" customFormat="1" ht="12.75" x14ac:dyDescent="0.2">
      <c r="A348" s="72" t="s">
        <v>143</v>
      </c>
      <c r="B348" s="72" t="s">
        <v>185</v>
      </c>
      <c r="C348" s="40"/>
      <c r="D348" s="40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0"/>
      <c r="R348" s="40"/>
      <c r="S348" s="40"/>
      <c r="T348" s="73">
        <v>19000</v>
      </c>
      <c r="U348" s="41"/>
      <c r="V348" s="149" t="s">
        <v>95</v>
      </c>
      <c r="W348" s="42"/>
      <c r="X348" s="42">
        <v>53.9</v>
      </c>
      <c r="Y348" s="46"/>
      <c r="Z348" s="43"/>
      <c r="AA348" s="40"/>
      <c r="AB348" s="40"/>
      <c r="AC348" s="43"/>
      <c r="AD348" s="43"/>
      <c r="AE348" s="43"/>
      <c r="AF348" s="43"/>
      <c r="AG348" s="75">
        <v>44844</v>
      </c>
      <c r="AH348" s="75">
        <v>44844</v>
      </c>
      <c r="AI348" s="78"/>
      <c r="AJ348" s="78"/>
      <c r="AK348" s="78"/>
      <c r="AL348" s="134" t="s">
        <v>31</v>
      </c>
      <c r="AM348" s="73">
        <v>19000</v>
      </c>
      <c r="AN348" s="44"/>
      <c r="AO348" s="44"/>
      <c r="AP348" s="73">
        <v>18745</v>
      </c>
      <c r="AQ348" s="44"/>
      <c r="AR348" s="44"/>
      <c r="AS348" s="40"/>
      <c r="AT348" s="40"/>
      <c r="AU348" s="40"/>
      <c r="AV348" s="40"/>
      <c r="AW348" s="40"/>
      <c r="AX348" s="40"/>
      <c r="AY348" s="188"/>
      <c r="AZ348" s="98"/>
    </row>
    <row r="349" spans="1:52" s="19" customFormat="1" ht="12.75" x14ac:dyDescent="0.2">
      <c r="A349" s="72" t="s">
        <v>142</v>
      </c>
      <c r="B349" s="72" t="s">
        <v>116</v>
      </c>
      <c r="C349" s="40"/>
      <c r="D349" s="40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0"/>
      <c r="R349" s="40"/>
      <c r="S349" s="40"/>
      <c r="T349" s="73">
        <v>31000</v>
      </c>
      <c r="U349" s="41"/>
      <c r="V349" s="149" t="s">
        <v>95</v>
      </c>
      <c r="W349" s="42"/>
      <c r="X349" s="42">
        <v>53.9</v>
      </c>
      <c r="Y349" s="46"/>
      <c r="Z349" s="43"/>
      <c r="AA349" s="40"/>
      <c r="AB349" s="40"/>
      <c r="AC349" s="43"/>
      <c r="AD349" s="43"/>
      <c r="AE349" s="43"/>
      <c r="AF349" s="43"/>
      <c r="AG349" s="75">
        <v>44844</v>
      </c>
      <c r="AH349" s="75">
        <v>44844</v>
      </c>
      <c r="AI349" s="78"/>
      <c r="AJ349" s="78"/>
      <c r="AK349" s="78"/>
      <c r="AL349" s="134" t="s">
        <v>31</v>
      </c>
      <c r="AM349" s="73">
        <v>31000</v>
      </c>
      <c r="AN349" s="44"/>
      <c r="AO349" s="44"/>
      <c r="AP349" s="73">
        <v>30900</v>
      </c>
      <c r="AQ349" s="44"/>
      <c r="AR349" s="44"/>
      <c r="AS349" s="40"/>
      <c r="AT349" s="40"/>
      <c r="AU349" s="40"/>
      <c r="AV349" s="40"/>
      <c r="AW349" s="40"/>
      <c r="AX349" s="40"/>
      <c r="AY349" s="188"/>
      <c r="AZ349" s="98"/>
    </row>
    <row r="350" spans="1:52" s="19" customFormat="1" ht="12.75" x14ac:dyDescent="0.2">
      <c r="A350" s="72" t="s">
        <v>140</v>
      </c>
      <c r="B350" s="72" t="s">
        <v>220</v>
      </c>
      <c r="C350" s="40"/>
      <c r="D350" s="40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0"/>
      <c r="R350" s="40"/>
      <c r="S350" s="40"/>
      <c r="T350" s="73">
        <v>247500</v>
      </c>
      <c r="U350" s="41"/>
      <c r="V350" s="147" t="s">
        <v>104</v>
      </c>
      <c r="W350" s="42"/>
      <c r="X350" s="42">
        <v>53.9</v>
      </c>
      <c r="Y350" s="46"/>
      <c r="Z350" s="43"/>
      <c r="AA350" s="40"/>
      <c r="AB350" s="40"/>
      <c r="AC350" s="43"/>
      <c r="AD350" s="43"/>
      <c r="AE350" s="43"/>
      <c r="AF350" s="43"/>
      <c r="AG350" s="75">
        <v>44844</v>
      </c>
      <c r="AH350" s="75">
        <v>44844</v>
      </c>
      <c r="AI350" s="77">
        <v>44901</v>
      </c>
      <c r="AJ350" s="77">
        <v>44908</v>
      </c>
      <c r="AK350" s="77">
        <v>44908</v>
      </c>
      <c r="AL350" s="134" t="s">
        <v>31</v>
      </c>
      <c r="AM350" s="73">
        <v>247500</v>
      </c>
      <c r="AN350" s="44"/>
      <c r="AO350" s="44"/>
      <c r="AP350" s="73">
        <v>245814</v>
      </c>
      <c r="AQ350" s="44"/>
      <c r="AR350" s="44"/>
      <c r="AS350" s="40"/>
      <c r="AT350" s="40"/>
      <c r="AU350" s="40"/>
      <c r="AV350" s="40"/>
      <c r="AW350" s="40"/>
      <c r="AX350" s="40"/>
      <c r="AY350" s="188"/>
      <c r="AZ350" s="98"/>
    </row>
    <row r="351" spans="1:52" s="19" customFormat="1" ht="25.5" x14ac:dyDescent="0.2">
      <c r="A351" s="72" t="s">
        <v>139</v>
      </c>
      <c r="B351" s="72" t="s">
        <v>198</v>
      </c>
      <c r="C351" s="40"/>
      <c r="D351" s="40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0"/>
      <c r="R351" s="40"/>
      <c r="S351" s="40"/>
      <c r="T351" s="73">
        <v>247500</v>
      </c>
      <c r="U351" s="41"/>
      <c r="V351" s="147" t="s">
        <v>104</v>
      </c>
      <c r="W351" s="42"/>
      <c r="X351" s="42">
        <v>53.9</v>
      </c>
      <c r="Y351" s="46"/>
      <c r="Z351" s="43"/>
      <c r="AA351" s="40"/>
      <c r="AB351" s="40"/>
      <c r="AC351" s="43"/>
      <c r="AD351" s="43"/>
      <c r="AE351" s="43"/>
      <c r="AF351" s="43"/>
      <c r="AG351" s="75">
        <v>44844</v>
      </c>
      <c r="AH351" s="75">
        <v>44844</v>
      </c>
      <c r="AI351" s="78"/>
      <c r="AJ351" s="78"/>
      <c r="AK351" s="78"/>
      <c r="AL351" s="134" t="s">
        <v>31</v>
      </c>
      <c r="AM351" s="73">
        <v>247500</v>
      </c>
      <c r="AN351" s="44"/>
      <c r="AO351" s="44"/>
      <c r="AP351" s="73">
        <v>245927</v>
      </c>
      <c r="AQ351" s="44"/>
      <c r="AR351" s="44"/>
      <c r="AS351" s="40"/>
      <c r="AT351" s="40"/>
      <c r="AU351" s="40"/>
      <c r="AV351" s="40"/>
      <c r="AW351" s="40"/>
      <c r="AX351" s="40"/>
      <c r="AY351" s="188"/>
      <c r="AZ351" s="98"/>
    </row>
    <row r="352" spans="1:52" s="19" customFormat="1" ht="12.75" x14ac:dyDescent="0.2">
      <c r="A352" s="72" t="s">
        <v>147</v>
      </c>
      <c r="B352" s="72" t="s">
        <v>119</v>
      </c>
      <c r="C352" s="40"/>
      <c r="D352" s="40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0"/>
      <c r="R352" s="40"/>
      <c r="S352" s="40"/>
      <c r="T352" s="73">
        <v>10000</v>
      </c>
      <c r="U352" s="41"/>
      <c r="V352" s="147" t="s">
        <v>98</v>
      </c>
      <c r="W352" s="42"/>
      <c r="X352" s="42">
        <v>53.9</v>
      </c>
      <c r="Y352" s="46"/>
      <c r="Z352" s="43"/>
      <c r="AA352" s="40"/>
      <c r="AB352" s="40"/>
      <c r="AC352" s="43"/>
      <c r="AD352" s="43"/>
      <c r="AE352" s="43"/>
      <c r="AF352" s="43"/>
      <c r="AG352" s="75">
        <v>44844</v>
      </c>
      <c r="AH352" s="75">
        <v>44844</v>
      </c>
      <c r="AI352" s="77">
        <v>44897</v>
      </c>
      <c r="AJ352" s="77">
        <v>44904</v>
      </c>
      <c r="AK352" s="77">
        <v>44904</v>
      </c>
      <c r="AL352" s="134" t="s">
        <v>31</v>
      </c>
      <c r="AM352" s="73">
        <v>10000</v>
      </c>
      <c r="AN352" s="44"/>
      <c r="AO352" s="44"/>
      <c r="AP352" s="73">
        <v>9982</v>
      </c>
      <c r="AQ352" s="44"/>
      <c r="AR352" s="44"/>
      <c r="AS352" s="40"/>
      <c r="AT352" s="40"/>
      <c r="AU352" s="40"/>
      <c r="AV352" s="40"/>
      <c r="AW352" s="40"/>
      <c r="AX352" s="40"/>
      <c r="AY352" s="188"/>
      <c r="AZ352" s="98"/>
    </row>
    <row r="353" spans="1:52" s="19" customFormat="1" ht="12.75" x14ac:dyDescent="0.2">
      <c r="A353" s="72" t="s">
        <v>145</v>
      </c>
      <c r="B353" s="72" t="s">
        <v>201</v>
      </c>
      <c r="C353" s="40"/>
      <c r="D353" s="40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0"/>
      <c r="R353" s="40"/>
      <c r="S353" s="40"/>
      <c r="T353" s="73">
        <v>80000</v>
      </c>
      <c r="U353" s="41"/>
      <c r="V353" s="147" t="s">
        <v>97</v>
      </c>
      <c r="W353" s="42"/>
      <c r="X353" s="42">
        <v>53.9</v>
      </c>
      <c r="Y353" s="46"/>
      <c r="Z353" s="43"/>
      <c r="AA353" s="40"/>
      <c r="AB353" s="40"/>
      <c r="AC353" s="43"/>
      <c r="AD353" s="43"/>
      <c r="AE353" s="43"/>
      <c r="AF353" s="43"/>
      <c r="AG353" s="75">
        <v>44851</v>
      </c>
      <c r="AH353" s="75">
        <v>44851</v>
      </c>
      <c r="AI353" s="77">
        <v>44901</v>
      </c>
      <c r="AJ353" s="77">
        <v>44908</v>
      </c>
      <c r="AK353" s="77">
        <v>44908</v>
      </c>
      <c r="AL353" s="134" t="s">
        <v>31</v>
      </c>
      <c r="AM353" s="73">
        <v>80000</v>
      </c>
      <c r="AN353" s="44"/>
      <c r="AO353" s="44"/>
      <c r="AP353" s="73">
        <v>79087</v>
      </c>
      <c r="AQ353" s="44"/>
      <c r="AR353" s="44"/>
      <c r="AS353" s="40"/>
      <c r="AT353" s="40"/>
      <c r="AU353" s="40"/>
      <c r="AV353" s="40"/>
      <c r="AW353" s="40"/>
      <c r="AX353" s="40"/>
      <c r="AY353" s="188"/>
      <c r="AZ353" s="98"/>
    </row>
    <row r="354" spans="1:52" s="19" customFormat="1" ht="12.75" x14ac:dyDescent="0.2">
      <c r="A354" s="72" t="s">
        <v>137</v>
      </c>
      <c r="B354" s="72" t="s">
        <v>112</v>
      </c>
      <c r="C354" s="40"/>
      <c r="D354" s="40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0"/>
      <c r="R354" s="40"/>
      <c r="S354" s="40"/>
      <c r="T354" s="73">
        <v>30000</v>
      </c>
      <c r="U354" s="41"/>
      <c r="V354" s="149" t="s">
        <v>90</v>
      </c>
      <c r="W354" s="42"/>
      <c r="X354" s="42">
        <v>53.9</v>
      </c>
      <c r="Y354" s="46"/>
      <c r="Z354" s="43"/>
      <c r="AA354" s="40"/>
      <c r="AB354" s="40"/>
      <c r="AC354" s="43"/>
      <c r="AD354" s="43"/>
      <c r="AE354" s="43"/>
      <c r="AF354" s="43"/>
      <c r="AG354" s="75">
        <v>44851</v>
      </c>
      <c r="AH354" s="75">
        <v>44851</v>
      </c>
      <c r="AI354" s="78"/>
      <c r="AJ354" s="78"/>
      <c r="AK354" s="78"/>
      <c r="AL354" s="134" t="s">
        <v>31</v>
      </c>
      <c r="AM354" s="73">
        <v>30000</v>
      </c>
      <c r="AN354" s="44"/>
      <c r="AO354" s="44"/>
      <c r="AP354" s="73">
        <v>29807</v>
      </c>
      <c r="AQ354" s="44"/>
      <c r="AR354" s="44"/>
      <c r="AS354" s="40"/>
      <c r="AT354" s="40"/>
      <c r="AU354" s="40"/>
      <c r="AV354" s="40"/>
      <c r="AW354" s="40"/>
      <c r="AX354" s="40"/>
      <c r="AY354" s="188"/>
      <c r="AZ354" s="98"/>
    </row>
    <row r="355" spans="1:52" s="19" customFormat="1" ht="12.75" x14ac:dyDescent="0.2">
      <c r="A355" s="72" t="s">
        <v>143</v>
      </c>
      <c r="B355" s="72" t="s">
        <v>185</v>
      </c>
      <c r="C355" s="40"/>
      <c r="D355" s="40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0"/>
      <c r="R355" s="40"/>
      <c r="S355" s="40"/>
      <c r="T355" s="73">
        <v>30000</v>
      </c>
      <c r="U355" s="41"/>
      <c r="V355" s="149" t="s">
        <v>90</v>
      </c>
      <c r="W355" s="42"/>
      <c r="X355" s="42">
        <v>53.9</v>
      </c>
      <c r="Y355" s="46"/>
      <c r="Z355" s="43"/>
      <c r="AA355" s="40"/>
      <c r="AB355" s="40"/>
      <c r="AC355" s="43"/>
      <c r="AD355" s="43"/>
      <c r="AE355" s="43"/>
      <c r="AF355" s="43"/>
      <c r="AG355" s="75">
        <v>44851</v>
      </c>
      <c r="AH355" s="75">
        <v>44851</v>
      </c>
      <c r="AI355" s="78"/>
      <c r="AJ355" s="78"/>
      <c r="AK355" s="78"/>
      <c r="AL355" s="134" t="s">
        <v>31</v>
      </c>
      <c r="AM355" s="73">
        <v>30000</v>
      </c>
      <c r="AN355" s="44"/>
      <c r="AO355" s="44"/>
      <c r="AP355" s="73">
        <v>29840</v>
      </c>
      <c r="AQ355" s="44"/>
      <c r="AR355" s="44"/>
      <c r="AS355" s="40"/>
      <c r="AT355" s="40"/>
      <c r="AU355" s="40"/>
      <c r="AV355" s="40"/>
      <c r="AW355" s="40"/>
      <c r="AX355" s="40"/>
      <c r="AY355" s="188"/>
      <c r="AZ355" s="98"/>
    </row>
    <row r="356" spans="1:52" s="19" customFormat="1" ht="12.75" x14ac:dyDescent="0.2">
      <c r="A356" s="72" t="s">
        <v>137</v>
      </c>
      <c r="B356" s="153" t="s">
        <v>112</v>
      </c>
      <c r="C356" s="40"/>
      <c r="D356" s="40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0"/>
      <c r="R356" s="40"/>
      <c r="S356" s="40"/>
      <c r="T356" s="73">
        <v>40000</v>
      </c>
      <c r="U356" s="41"/>
      <c r="V356" s="147" t="s">
        <v>103</v>
      </c>
      <c r="W356" s="42"/>
      <c r="X356" s="42">
        <v>53.9</v>
      </c>
      <c r="Y356" s="46"/>
      <c r="Z356" s="43"/>
      <c r="AA356" s="40"/>
      <c r="AB356" s="40"/>
      <c r="AC356" s="43"/>
      <c r="AD356" s="43"/>
      <c r="AE356" s="43"/>
      <c r="AF356" s="43"/>
      <c r="AG356" s="75">
        <v>44851</v>
      </c>
      <c r="AH356" s="75">
        <v>44851</v>
      </c>
      <c r="AI356" s="77">
        <v>44907</v>
      </c>
      <c r="AJ356" s="77">
        <v>44914</v>
      </c>
      <c r="AK356" s="77">
        <v>44914</v>
      </c>
      <c r="AL356" s="134" t="s">
        <v>31</v>
      </c>
      <c r="AM356" s="73">
        <v>40000</v>
      </c>
      <c r="AN356" s="44"/>
      <c r="AO356" s="44"/>
      <c r="AP356" s="73">
        <v>39435</v>
      </c>
      <c r="AQ356" s="44"/>
      <c r="AR356" s="44"/>
      <c r="AS356" s="40"/>
      <c r="AT356" s="40"/>
      <c r="AU356" s="40"/>
      <c r="AV356" s="40"/>
      <c r="AW356" s="40"/>
      <c r="AX356" s="40"/>
      <c r="AY356" s="188"/>
      <c r="AZ356" s="98"/>
    </row>
    <row r="357" spans="1:52" s="19" customFormat="1" ht="12.75" x14ac:dyDescent="0.2">
      <c r="A357" s="72" t="s">
        <v>142</v>
      </c>
      <c r="B357" s="72" t="s">
        <v>116</v>
      </c>
      <c r="C357" s="40"/>
      <c r="D357" s="40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0"/>
      <c r="R357" s="40"/>
      <c r="S357" s="40"/>
      <c r="T357" s="73">
        <v>6000</v>
      </c>
      <c r="U357" s="41"/>
      <c r="V357" s="145" t="s">
        <v>99</v>
      </c>
      <c r="W357" s="42"/>
      <c r="X357" s="42">
        <v>53.9</v>
      </c>
      <c r="Y357" s="46"/>
      <c r="Z357" s="43"/>
      <c r="AA357" s="40"/>
      <c r="AB357" s="40"/>
      <c r="AC357" s="43"/>
      <c r="AD357" s="43"/>
      <c r="AE357" s="43"/>
      <c r="AF357" s="43"/>
      <c r="AG357" s="75">
        <v>44853</v>
      </c>
      <c r="AH357" s="75">
        <v>44853</v>
      </c>
      <c r="AI357" s="77">
        <v>44909</v>
      </c>
      <c r="AJ357" s="77">
        <v>44916</v>
      </c>
      <c r="AK357" s="77">
        <v>44916</v>
      </c>
      <c r="AL357" s="134" t="s">
        <v>31</v>
      </c>
      <c r="AM357" s="73">
        <v>6000</v>
      </c>
      <c r="AN357" s="44"/>
      <c r="AO357" s="44"/>
      <c r="AP357" s="73">
        <v>5976</v>
      </c>
      <c r="AQ357" s="44"/>
      <c r="AR357" s="44"/>
      <c r="AS357" s="40"/>
      <c r="AT357" s="40"/>
      <c r="AU357" s="40"/>
      <c r="AV357" s="40"/>
      <c r="AW357" s="40"/>
      <c r="AX357" s="40"/>
      <c r="AY357" s="188"/>
      <c r="AZ357" s="98"/>
    </row>
    <row r="358" spans="1:52" s="19" customFormat="1" ht="12.75" x14ac:dyDescent="0.2">
      <c r="A358" s="72" t="s">
        <v>136</v>
      </c>
      <c r="B358" s="72" t="s">
        <v>189</v>
      </c>
      <c r="C358" s="40"/>
      <c r="D358" s="40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0"/>
      <c r="R358" s="40"/>
      <c r="S358" s="40"/>
      <c r="T358" s="73">
        <v>37500</v>
      </c>
      <c r="U358" s="41"/>
      <c r="V358" s="149" t="s">
        <v>93</v>
      </c>
      <c r="W358" s="42"/>
      <c r="X358" s="42">
        <v>53.9</v>
      </c>
      <c r="Y358" s="46"/>
      <c r="Z358" s="43"/>
      <c r="AA358" s="40"/>
      <c r="AB358" s="40"/>
      <c r="AC358" s="43"/>
      <c r="AD358" s="43"/>
      <c r="AE358" s="43"/>
      <c r="AF358" s="43"/>
      <c r="AG358" s="75">
        <v>44858</v>
      </c>
      <c r="AH358" s="75">
        <v>44858</v>
      </c>
      <c r="AI358" s="78"/>
      <c r="AJ358" s="78"/>
      <c r="AK358" s="78"/>
      <c r="AL358" s="134" t="s">
        <v>31</v>
      </c>
      <c r="AM358" s="73">
        <v>37500</v>
      </c>
      <c r="AN358" s="44"/>
      <c r="AO358" s="44"/>
      <c r="AP358" s="73">
        <v>37497</v>
      </c>
      <c r="AQ358" s="44"/>
      <c r="AR358" s="44"/>
      <c r="AS358" s="40"/>
      <c r="AT358" s="40"/>
      <c r="AU358" s="40"/>
      <c r="AV358" s="40"/>
      <c r="AW358" s="40"/>
      <c r="AX358" s="40"/>
      <c r="AY358" s="188"/>
      <c r="AZ358" s="98"/>
    </row>
    <row r="359" spans="1:52" s="19" customFormat="1" ht="12.75" x14ac:dyDescent="0.2">
      <c r="A359" s="72" t="s">
        <v>221</v>
      </c>
      <c r="B359" s="72" t="s">
        <v>189</v>
      </c>
      <c r="C359" s="40"/>
      <c r="D359" s="40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0"/>
      <c r="R359" s="40"/>
      <c r="S359" s="40"/>
      <c r="T359" s="73">
        <v>18000</v>
      </c>
      <c r="U359" s="41"/>
      <c r="V359" s="149" t="s">
        <v>93</v>
      </c>
      <c r="W359" s="42"/>
      <c r="X359" s="42">
        <v>53.9</v>
      </c>
      <c r="Y359" s="46"/>
      <c r="Z359" s="43"/>
      <c r="AA359" s="40"/>
      <c r="AB359" s="40"/>
      <c r="AC359" s="43"/>
      <c r="AD359" s="43"/>
      <c r="AE359" s="43"/>
      <c r="AF359" s="43"/>
      <c r="AG359" s="75">
        <v>44858</v>
      </c>
      <c r="AH359" s="75">
        <v>44858</v>
      </c>
      <c r="AI359" s="78"/>
      <c r="AJ359" s="78"/>
      <c r="AK359" s="78"/>
      <c r="AL359" s="134" t="s">
        <v>31</v>
      </c>
      <c r="AM359" s="73">
        <v>18000</v>
      </c>
      <c r="AN359" s="44"/>
      <c r="AO359" s="44"/>
      <c r="AP359" s="73">
        <v>17964</v>
      </c>
      <c r="AQ359" s="44"/>
      <c r="AR359" s="44"/>
      <c r="AS359" s="40"/>
      <c r="AT359" s="40"/>
      <c r="AU359" s="40"/>
      <c r="AV359" s="40"/>
      <c r="AW359" s="40"/>
      <c r="AX359" s="40"/>
      <c r="AY359" s="188"/>
      <c r="AZ359" s="98"/>
    </row>
    <row r="360" spans="1:52" s="19" customFormat="1" ht="12.75" x14ac:dyDescent="0.2">
      <c r="A360" s="72" t="s">
        <v>142</v>
      </c>
      <c r="B360" s="72" t="s">
        <v>116</v>
      </c>
      <c r="C360" s="40"/>
      <c r="D360" s="40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0"/>
      <c r="R360" s="40"/>
      <c r="S360" s="40"/>
      <c r="T360" s="73">
        <v>12000</v>
      </c>
      <c r="U360" s="41"/>
      <c r="V360" s="149" t="s">
        <v>93</v>
      </c>
      <c r="W360" s="42"/>
      <c r="X360" s="42">
        <v>53.9</v>
      </c>
      <c r="Y360" s="46"/>
      <c r="Z360" s="43"/>
      <c r="AA360" s="40"/>
      <c r="AB360" s="40"/>
      <c r="AC360" s="43"/>
      <c r="AD360" s="43"/>
      <c r="AE360" s="43"/>
      <c r="AF360" s="43"/>
      <c r="AG360" s="75">
        <v>44858</v>
      </c>
      <c r="AH360" s="75">
        <v>44858</v>
      </c>
      <c r="AI360" s="78"/>
      <c r="AJ360" s="78"/>
      <c r="AK360" s="78"/>
      <c r="AL360" s="134" t="s">
        <v>31</v>
      </c>
      <c r="AM360" s="73">
        <v>12000</v>
      </c>
      <c r="AN360" s="44"/>
      <c r="AO360" s="44"/>
      <c r="AP360" s="73">
        <v>11928</v>
      </c>
      <c r="AQ360" s="44"/>
      <c r="AR360" s="44"/>
      <c r="AS360" s="40"/>
      <c r="AT360" s="40"/>
      <c r="AU360" s="40"/>
      <c r="AV360" s="40"/>
      <c r="AW360" s="40"/>
      <c r="AX360" s="40"/>
      <c r="AY360" s="188"/>
      <c r="AZ360" s="98"/>
    </row>
    <row r="361" spans="1:52" s="19" customFormat="1" ht="12.75" x14ac:dyDescent="0.2">
      <c r="A361" s="72" t="s">
        <v>145</v>
      </c>
      <c r="B361" s="72" t="s">
        <v>201</v>
      </c>
      <c r="C361" s="40"/>
      <c r="D361" s="40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0"/>
      <c r="R361" s="40"/>
      <c r="S361" s="40"/>
      <c r="T361" s="73">
        <v>20000</v>
      </c>
      <c r="U361" s="41"/>
      <c r="V361" s="149" t="s">
        <v>88</v>
      </c>
      <c r="W361" s="42"/>
      <c r="X361" s="42">
        <v>53.9</v>
      </c>
      <c r="Y361" s="46"/>
      <c r="Z361" s="43"/>
      <c r="AA361" s="40"/>
      <c r="AB361" s="40"/>
      <c r="AC361" s="43"/>
      <c r="AD361" s="43"/>
      <c r="AE361" s="43"/>
      <c r="AF361" s="43"/>
      <c r="AG361" s="75">
        <v>44858</v>
      </c>
      <c r="AH361" s="75">
        <v>44858</v>
      </c>
      <c r="AI361" s="78"/>
      <c r="AJ361" s="78"/>
      <c r="AK361" s="78"/>
      <c r="AL361" s="134" t="s">
        <v>31</v>
      </c>
      <c r="AM361" s="73">
        <v>20000</v>
      </c>
      <c r="AN361" s="44"/>
      <c r="AO361" s="44"/>
      <c r="AP361" s="73">
        <v>19420</v>
      </c>
      <c r="AQ361" s="44"/>
      <c r="AR361" s="44"/>
      <c r="AS361" s="40"/>
      <c r="AT361" s="40"/>
      <c r="AU361" s="40"/>
      <c r="AV361" s="40"/>
      <c r="AW361" s="40"/>
      <c r="AX361" s="40"/>
      <c r="AY361" s="188"/>
      <c r="AZ361" s="98"/>
    </row>
    <row r="362" spans="1:52" s="19" customFormat="1" ht="12.75" x14ac:dyDescent="0.2">
      <c r="A362" s="72" t="s">
        <v>145</v>
      </c>
      <c r="B362" s="72" t="s">
        <v>201</v>
      </c>
      <c r="C362" s="40"/>
      <c r="D362" s="40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0"/>
      <c r="R362" s="40"/>
      <c r="S362" s="40"/>
      <c r="T362" s="73">
        <v>80000</v>
      </c>
      <c r="U362" s="41"/>
      <c r="V362" s="149" t="s">
        <v>88</v>
      </c>
      <c r="W362" s="42"/>
      <c r="X362" s="42">
        <v>53.9</v>
      </c>
      <c r="Y362" s="46"/>
      <c r="Z362" s="43"/>
      <c r="AA362" s="40"/>
      <c r="AB362" s="40"/>
      <c r="AC362" s="43"/>
      <c r="AD362" s="43"/>
      <c r="AE362" s="43"/>
      <c r="AF362" s="43"/>
      <c r="AG362" s="75">
        <v>44858</v>
      </c>
      <c r="AH362" s="75">
        <v>44858</v>
      </c>
      <c r="AI362" s="78"/>
      <c r="AJ362" s="78"/>
      <c r="AK362" s="78"/>
      <c r="AL362" s="134" t="s">
        <v>31</v>
      </c>
      <c r="AM362" s="73">
        <v>80000</v>
      </c>
      <c r="AN362" s="44"/>
      <c r="AO362" s="44"/>
      <c r="AP362" s="73">
        <v>79560</v>
      </c>
      <c r="AQ362" s="44"/>
      <c r="AR362" s="44"/>
      <c r="AS362" s="40"/>
      <c r="AT362" s="40"/>
      <c r="AU362" s="40"/>
      <c r="AV362" s="40"/>
      <c r="AW362" s="40"/>
      <c r="AX362" s="40"/>
      <c r="AY362" s="188"/>
      <c r="AZ362" s="98"/>
    </row>
    <row r="363" spans="1:52" s="19" customFormat="1" ht="25.5" x14ac:dyDescent="0.2">
      <c r="A363" s="72" t="s">
        <v>139</v>
      </c>
      <c r="B363" s="72" t="s">
        <v>198</v>
      </c>
      <c r="C363" s="40"/>
      <c r="D363" s="40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0"/>
      <c r="R363" s="40"/>
      <c r="S363" s="40"/>
      <c r="T363" s="73">
        <v>320000</v>
      </c>
      <c r="U363" s="41"/>
      <c r="V363" s="145" t="s">
        <v>207</v>
      </c>
      <c r="W363" s="42"/>
      <c r="X363" s="42">
        <v>53.9</v>
      </c>
      <c r="Y363" s="46"/>
      <c r="Z363" s="43"/>
      <c r="AA363" s="40"/>
      <c r="AB363" s="40"/>
      <c r="AC363" s="43"/>
      <c r="AD363" s="43"/>
      <c r="AE363" s="43"/>
      <c r="AF363" s="43"/>
      <c r="AG363" s="75">
        <v>44858</v>
      </c>
      <c r="AH363" s="75">
        <v>44858</v>
      </c>
      <c r="AI363" s="77">
        <v>44897</v>
      </c>
      <c r="AJ363" s="77">
        <v>44904</v>
      </c>
      <c r="AK363" s="77">
        <v>44904</v>
      </c>
      <c r="AL363" s="134" t="s">
        <v>31</v>
      </c>
      <c r="AM363" s="73">
        <v>320000</v>
      </c>
      <c r="AN363" s="44"/>
      <c r="AO363" s="44"/>
      <c r="AP363" s="73">
        <v>318249</v>
      </c>
      <c r="AQ363" s="44"/>
      <c r="AR363" s="44"/>
      <c r="AS363" s="40"/>
      <c r="AT363" s="40"/>
      <c r="AU363" s="40"/>
      <c r="AV363" s="40"/>
      <c r="AW363" s="40"/>
      <c r="AX363" s="40"/>
      <c r="AY363" s="188"/>
      <c r="AZ363" s="98"/>
    </row>
    <row r="364" spans="1:52" s="19" customFormat="1" ht="12.75" x14ac:dyDescent="0.2">
      <c r="A364" s="72" t="s">
        <v>142</v>
      </c>
      <c r="B364" s="72" t="s">
        <v>116</v>
      </c>
      <c r="C364" s="40"/>
      <c r="D364" s="40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0"/>
      <c r="R364" s="40"/>
      <c r="S364" s="40"/>
      <c r="T364" s="73">
        <v>32400</v>
      </c>
      <c r="U364" s="41"/>
      <c r="V364" s="145" t="s">
        <v>105</v>
      </c>
      <c r="W364" s="42"/>
      <c r="X364" s="42">
        <v>53.9</v>
      </c>
      <c r="Y364" s="46"/>
      <c r="Z364" s="43"/>
      <c r="AA364" s="40"/>
      <c r="AB364" s="40"/>
      <c r="AC364" s="43"/>
      <c r="AD364" s="43"/>
      <c r="AE364" s="43"/>
      <c r="AF364" s="43"/>
      <c r="AG364" s="75">
        <v>44862</v>
      </c>
      <c r="AH364" s="75">
        <v>44862</v>
      </c>
      <c r="AI364" s="78"/>
      <c r="AJ364" s="156"/>
      <c r="AK364" s="156"/>
      <c r="AL364" s="134" t="s">
        <v>31</v>
      </c>
      <c r="AM364" s="73">
        <v>32400</v>
      </c>
      <c r="AN364" s="44"/>
      <c r="AO364" s="44"/>
      <c r="AP364" s="73">
        <v>32033</v>
      </c>
      <c r="AQ364" s="44"/>
      <c r="AR364" s="44"/>
      <c r="AS364" s="40"/>
      <c r="AT364" s="40"/>
      <c r="AU364" s="40"/>
      <c r="AV364" s="40"/>
      <c r="AW364" s="40"/>
      <c r="AX364" s="40"/>
      <c r="AY364" s="188"/>
      <c r="AZ364" s="98"/>
    </row>
    <row r="365" spans="1:52" s="19" customFormat="1" ht="12.75" x14ac:dyDescent="0.2">
      <c r="A365" s="72" t="s">
        <v>140</v>
      </c>
      <c r="B365" s="72" t="s">
        <v>222</v>
      </c>
      <c r="C365" s="40"/>
      <c r="D365" s="40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0"/>
      <c r="R365" s="40"/>
      <c r="S365" s="40"/>
      <c r="T365" s="73">
        <v>247500</v>
      </c>
      <c r="U365" s="41"/>
      <c r="V365" s="145" t="s">
        <v>104</v>
      </c>
      <c r="W365" s="42"/>
      <c r="X365" s="42">
        <v>53.9</v>
      </c>
      <c r="Y365" s="46"/>
      <c r="Z365" s="43"/>
      <c r="AA365" s="40"/>
      <c r="AB365" s="40"/>
      <c r="AC365" s="43"/>
      <c r="AD365" s="43"/>
      <c r="AE365" s="43"/>
      <c r="AF365" s="43"/>
      <c r="AG365" s="75">
        <v>44862</v>
      </c>
      <c r="AH365" s="75">
        <v>44862</v>
      </c>
      <c r="AI365" s="78"/>
      <c r="AJ365" s="156"/>
      <c r="AK365" s="156"/>
      <c r="AL365" s="134" t="s">
        <v>31</v>
      </c>
      <c r="AM365" s="73">
        <v>247500</v>
      </c>
      <c r="AN365" s="44"/>
      <c r="AO365" s="44"/>
      <c r="AP365" s="73">
        <v>244682</v>
      </c>
      <c r="AQ365" s="44"/>
      <c r="AR365" s="44"/>
      <c r="AS365" s="40"/>
      <c r="AT365" s="40"/>
      <c r="AU365" s="40"/>
      <c r="AV365" s="40"/>
      <c r="AW365" s="40"/>
      <c r="AX365" s="40"/>
      <c r="AY365" s="188"/>
      <c r="AZ365" s="98"/>
    </row>
    <row r="366" spans="1:52" s="19" customFormat="1" ht="25.5" x14ac:dyDescent="0.2">
      <c r="A366" s="72" t="s">
        <v>139</v>
      </c>
      <c r="B366" s="72" t="s">
        <v>198</v>
      </c>
      <c r="C366" s="40"/>
      <c r="D366" s="40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0"/>
      <c r="R366" s="40"/>
      <c r="S366" s="40"/>
      <c r="T366" s="73">
        <v>247500</v>
      </c>
      <c r="U366" s="41"/>
      <c r="V366" s="145" t="s">
        <v>104</v>
      </c>
      <c r="W366" s="42"/>
      <c r="X366" s="42">
        <v>53.9</v>
      </c>
      <c r="Y366" s="46"/>
      <c r="Z366" s="43"/>
      <c r="AA366" s="40"/>
      <c r="AB366" s="40"/>
      <c r="AC366" s="43"/>
      <c r="AD366" s="43"/>
      <c r="AE366" s="43"/>
      <c r="AF366" s="43"/>
      <c r="AG366" s="75">
        <v>44862</v>
      </c>
      <c r="AH366" s="75">
        <v>44862</v>
      </c>
      <c r="AI366" s="78"/>
      <c r="AJ366" s="77"/>
      <c r="AK366" s="77"/>
      <c r="AL366" s="134" t="s">
        <v>31</v>
      </c>
      <c r="AM366" s="73">
        <v>247500</v>
      </c>
      <c r="AN366" s="44"/>
      <c r="AO366" s="44"/>
      <c r="AP366" s="73">
        <v>245551</v>
      </c>
      <c r="AQ366" s="44"/>
      <c r="AR366" s="44"/>
      <c r="AS366" s="40"/>
      <c r="AT366" s="40"/>
      <c r="AU366" s="40"/>
      <c r="AV366" s="40"/>
      <c r="AW366" s="40"/>
      <c r="AX366" s="40"/>
      <c r="AY366" s="188"/>
      <c r="AZ366" s="98"/>
    </row>
    <row r="367" spans="1:52" s="19" customFormat="1" ht="12.75" x14ac:dyDescent="0.2">
      <c r="A367" s="72" t="s">
        <v>136</v>
      </c>
      <c r="B367" s="72" t="s">
        <v>189</v>
      </c>
      <c r="C367" s="40"/>
      <c r="D367" s="40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0"/>
      <c r="R367" s="40"/>
      <c r="S367" s="40"/>
      <c r="T367" s="73">
        <v>3900</v>
      </c>
      <c r="U367" s="41"/>
      <c r="V367" s="145" t="s">
        <v>223</v>
      </c>
      <c r="W367" s="42"/>
      <c r="X367" s="42">
        <v>53.9</v>
      </c>
      <c r="Y367" s="46"/>
      <c r="Z367" s="43"/>
      <c r="AA367" s="40"/>
      <c r="AB367" s="40"/>
      <c r="AC367" s="43"/>
      <c r="AD367" s="43"/>
      <c r="AE367" s="43"/>
      <c r="AF367" s="43"/>
      <c r="AG367" s="75">
        <v>44868</v>
      </c>
      <c r="AH367" s="75">
        <v>44868</v>
      </c>
      <c r="AI367" s="78"/>
      <c r="AJ367" s="156"/>
      <c r="AK367" s="156"/>
      <c r="AL367" s="134" t="s">
        <v>31</v>
      </c>
      <c r="AM367" s="73">
        <v>3900</v>
      </c>
      <c r="AN367" s="44"/>
      <c r="AO367" s="44"/>
      <c r="AP367" s="73">
        <v>3885</v>
      </c>
      <c r="AQ367" s="44"/>
      <c r="AR367" s="44"/>
      <c r="AS367" s="40"/>
      <c r="AT367" s="40"/>
      <c r="AU367" s="40"/>
      <c r="AV367" s="40"/>
      <c r="AW367" s="40"/>
      <c r="AX367" s="40"/>
      <c r="AY367" s="188"/>
      <c r="AZ367" s="98"/>
    </row>
    <row r="368" spans="1:52" s="19" customFormat="1" ht="12.75" x14ac:dyDescent="0.2">
      <c r="A368" s="72" t="s">
        <v>140</v>
      </c>
      <c r="B368" s="72" t="s">
        <v>222</v>
      </c>
      <c r="C368" s="40"/>
      <c r="D368" s="40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0"/>
      <c r="R368" s="40"/>
      <c r="S368" s="40"/>
      <c r="T368" s="73">
        <v>3750</v>
      </c>
      <c r="U368" s="41"/>
      <c r="V368" s="149" t="s">
        <v>224</v>
      </c>
      <c r="W368" s="42"/>
      <c r="X368" s="42">
        <v>53.9</v>
      </c>
      <c r="Y368" s="46"/>
      <c r="Z368" s="43"/>
      <c r="AA368" s="40"/>
      <c r="AB368" s="40"/>
      <c r="AC368" s="43"/>
      <c r="AD368" s="43"/>
      <c r="AE368" s="43"/>
      <c r="AF368" s="43"/>
      <c r="AG368" s="75">
        <v>44869</v>
      </c>
      <c r="AH368" s="75">
        <v>44869</v>
      </c>
      <c r="AI368" s="78"/>
      <c r="AJ368" s="156"/>
      <c r="AK368" s="156"/>
      <c r="AL368" s="134" t="s">
        <v>31</v>
      </c>
      <c r="AM368" s="73">
        <v>3750</v>
      </c>
      <c r="AN368" s="44"/>
      <c r="AO368" s="44"/>
      <c r="AP368" s="73">
        <v>3600</v>
      </c>
      <c r="AQ368" s="44"/>
      <c r="AR368" s="44"/>
      <c r="AS368" s="40"/>
      <c r="AT368" s="40"/>
      <c r="AU368" s="40"/>
      <c r="AV368" s="40"/>
      <c r="AW368" s="40"/>
      <c r="AX368" s="40"/>
      <c r="AY368" s="188"/>
      <c r="AZ368" s="98"/>
    </row>
    <row r="369" spans="1:52" s="19" customFormat="1" ht="25.5" x14ac:dyDescent="0.2">
      <c r="A369" s="72" t="s">
        <v>139</v>
      </c>
      <c r="B369" s="72" t="s">
        <v>198</v>
      </c>
      <c r="C369" s="40"/>
      <c r="D369" s="40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0"/>
      <c r="R369" s="40"/>
      <c r="S369" s="40"/>
      <c r="T369" s="73">
        <v>5250</v>
      </c>
      <c r="U369" s="41"/>
      <c r="V369" s="149" t="s">
        <v>224</v>
      </c>
      <c r="W369" s="42"/>
      <c r="X369" s="42">
        <v>53.9</v>
      </c>
      <c r="Y369" s="46"/>
      <c r="Z369" s="43"/>
      <c r="AA369" s="40"/>
      <c r="AB369" s="40"/>
      <c r="AC369" s="43"/>
      <c r="AD369" s="43"/>
      <c r="AE369" s="43"/>
      <c r="AF369" s="43"/>
      <c r="AG369" s="75">
        <v>44869</v>
      </c>
      <c r="AH369" s="75">
        <v>44869</v>
      </c>
      <c r="AI369" s="78"/>
      <c r="AJ369" s="156"/>
      <c r="AK369" s="156"/>
      <c r="AL369" s="134" t="s">
        <v>31</v>
      </c>
      <c r="AM369" s="73">
        <v>5250</v>
      </c>
      <c r="AN369" s="44"/>
      <c r="AO369" s="44"/>
      <c r="AP369" s="73">
        <v>4425</v>
      </c>
      <c r="AQ369" s="44"/>
      <c r="AR369" s="44"/>
      <c r="AS369" s="40"/>
      <c r="AT369" s="40"/>
      <c r="AU369" s="40"/>
      <c r="AV369" s="40"/>
      <c r="AW369" s="40"/>
      <c r="AX369" s="40"/>
      <c r="AY369" s="188"/>
      <c r="AZ369" s="98"/>
    </row>
    <row r="370" spans="1:52" s="19" customFormat="1" ht="25.5" x14ac:dyDescent="0.2">
      <c r="A370" s="72" t="s">
        <v>139</v>
      </c>
      <c r="B370" s="72" t="s">
        <v>198</v>
      </c>
      <c r="C370" s="40"/>
      <c r="D370" s="40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0"/>
      <c r="R370" s="40"/>
      <c r="S370" s="40"/>
      <c r="T370" s="73">
        <v>40000</v>
      </c>
      <c r="U370" s="41"/>
      <c r="V370" s="145" t="s">
        <v>84</v>
      </c>
      <c r="W370" s="42"/>
      <c r="X370" s="42">
        <v>53.9</v>
      </c>
      <c r="Y370" s="46"/>
      <c r="Z370" s="43"/>
      <c r="AA370" s="40"/>
      <c r="AB370" s="40"/>
      <c r="AC370" s="43"/>
      <c r="AD370" s="43"/>
      <c r="AE370" s="43"/>
      <c r="AF370" s="43"/>
      <c r="AG370" s="75">
        <v>44873</v>
      </c>
      <c r="AH370" s="75">
        <v>44873</v>
      </c>
      <c r="AI370" s="78"/>
      <c r="AJ370" s="156"/>
      <c r="AK370" s="156"/>
      <c r="AL370" s="134" t="s">
        <v>31</v>
      </c>
      <c r="AM370" s="73">
        <v>40000</v>
      </c>
      <c r="AN370" s="44"/>
      <c r="AO370" s="44"/>
      <c r="AP370" s="73">
        <v>39625</v>
      </c>
      <c r="AQ370" s="44"/>
      <c r="AR370" s="44"/>
      <c r="AS370" s="40"/>
      <c r="AT370" s="40"/>
      <c r="AU370" s="40"/>
      <c r="AV370" s="40"/>
      <c r="AW370" s="40"/>
      <c r="AX370" s="40"/>
      <c r="AY370" s="188"/>
      <c r="AZ370" s="98"/>
    </row>
    <row r="371" spans="1:52" s="19" customFormat="1" ht="12.75" x14ac:dyDescent="0.2">
      <c r="A371" s="72" t="s">
        <v>137</v>
      </c>
      <c r="B371" s="72" t="s">
        <v>209</v>
      </c>
      <c r="C371" s="40"/>
      <c r="D371" s="40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0"/>
      <c r="R371" s="40"/>
      <c r="S371" s="40"/>
      <c r="T371" s="73">
        <v>20000</v>
      </c>
      <c r="U371" s="41"/>
      <c r="V371" s="145" t="s">
        <v>84</v>
      </c>
      <c r="W371" s="42"/>
      <c r="X371" s="42">
        <v>53.9</v>
      </c>
      <c r="Y371" s="46"/>
      <c r="Z371" s="43"/>
      <c r="AA371" s="40"/>
      <c r="AB371" s="40"/>
      <c r="AC371" s="43"/>
      <c r="AD371" s="43"/>
      <c r="AE371" s="43"/>
      <c r="AF371" s="43"/>
      <c r="AG371" s="75">
        <v>44873</v>
      </c>
      <c r="AH371" s="75">
        <v>44873</v>
      </c>
      <c r="AI371" s="78"/>
      <c r="AJ371" s="156"/>
      <c r="AK371" s="156"/>
      <c r="AL371" s="134" t="s">
        <v>31</v>
      </c>
      <c r="AM371" s="73">
        <v>20000</v>
      </c>
      <c r="AN371" s="44"/>
      <c r="AO371" s="44"/>
      <c r="AP371" s="73">
        <v>19895</v>
      </c>
      <c r="AQ371" s="44"/>
      <c r="AR371" s="44"/>
      <c r="AS371" s="40"/>
      <c r="AT371" s="40"/>
      <c r="AU371" s="40"/>
      <c r="AV371" s="40"/>
      <c r="AW371" s="40"/>
      <c r="AX371" s="40"/>
      <c r="AY371" s="188"/>
      <c r="AZ371" s="98"/>
    </row>
    <row r="372" spans="1:52" s="19" customFormat="1" ht="12.75" x14ac:dyDescent="0.2">
      <c r="A372" s="72" t="s">
        <v>138</v>
      </c>
      <c r="B372" s="72" t="s">
        <v>197</v>
      </c>
      <c r="C372" s="40"/>
      <c r="D372" s="40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0"/>
      <c r="R372" s="40"/>
      <c r="S372" s="40"/>
      <c r="T372" s="73">
        <v>25000</v>
      </c>
      <c r="U372" s="41"/>
      <c r="V372" s="145" t="s">
        <v>84</v>
      </c>
      <c r="W372" s="42"/>
      <c r="X372" s="42">
        <v>53.9</v>
      </c>
      <c r="Y372" s="46"/>
      <c r="Z372" s="43"/>
      <c r="AA372" s="40"/>
      <c r="AB372" s="40"/>
      <c r="AC372" s="43"/>
      <c r="AD372" s="43"/>
      <c r="AE372" s="43"/>
      <c r="AF372" s="43"/>
      <c r="AG372" s="75">
        <v>44873</v>
      </c>
      <c r="AH372" s="75">
        <v>44873</v>
      </c>
      <c r="AI372" s="78"/>
      <c r="AJ372" s="156"/>
      <c r="AK372" s="156"/>
      <c r="AL372" s="134" t="s">
        <v>31</v>
      </c>
      <c r="AM372" s="73">
        <v>25000</v>
      </c>
      <c r="AN372" s="44"/>
      <c r="AO372" s="44"/>
      <c r="AP372" s="73">
        <v>24794</v>
      </c>
      <c r="AQ372" s="44"/>
      <c r="AR372" s="44"/>
      <c r="AS372" s="40"/>
      <c r="AT372" s="40"/>
      <c r="AU372" s="40"/>
      <c r="AV372" s="40"/>
      <c r="AW372" s="40"/>
      <c r="AX372" s="40"/>
      <c r="AY372" s="188"/>
      <c r="AZ372" s="98"/>
    </row>
    <row r="373" spans="1:52" s="19" customFormat="1" ht="25.5" x14ac:dyDescent="0.2">
      <c r="A373" s="72" t="s">
        <v>139</v>
      </c>
      <c r="B373" s="72" t="s">
        <v>198</v>
      </c>
      <c r="C373" s="40"/>
      <c r="D373" s="40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0"/>
      <c r="R373" s="40"/>
      <c r="S373" s="40"/>
      <c r="T373" s="73">
        <v>76600</v>
      </c>
      <c r="U373" s="41"/>
      <c r="V373" s="145" t="s">
        <v>102</v>
      </c>
      <c r="W373" s="42"/>
      <c r="X373" s="42">
        <v>53.9</v>
      </c>
      <c r="Y373" s="46"/>
      <c r="Z373" s="43"/>
      <c r="AA373" s="40"/>
      <c r="AB373" s="40"/>
      <c r="AC373" s="43"/>
      <c r="AD373" s="43"/>
      <c r="AE373" s="43"/>
      <c r="AF373" s="43"/>
      <c r="AG373" s="75">
        <v>44875</v>
      </c>
      <c r="AH373" s="75">
        <v>44875</v>
      </c>
      <c r="AI373" s="77">
        <v>44903</v>
      </c>
      <c r="AJ373" s="77">
        <v>44910</v>
      </c>
      <c r="AK373" s="77">
        <v>44910</v>
      </c>
      <c r="AL373" s="134" t="s">
        <v>31</v>
      </c>
      <c r="AM373" s="73">
        <v>76600</v>
      </c>
      <c r="AN373" s="44"/>
      <c r="AO373" s="44"/>
      <c r="AP373" s="73">
        <v>76050</v>
      </c>
      <c r="AQ373" s="44"/>
      <c r="AR373" s="44"/>
      <c r="AS373" s="40"/>
      <c r="AT373" s="40"/>
      <c r="AU373" s="40"/>
      <c r="AV373" s="40"/>
      <c r="AW373" s="40"/>
      <c r="AX373" s="40"/>
      <c r="AY373" s="188"/>
      <c r="AZ373" s="98"/>
    </row>
    <row r="374" spans="1:52" s="19" customFormat="1" ht="12.75" x14ac:dyDescent="0.2">
      <c r="A374" s="72" t="s">
        <v>137</v>
      </c>
      <c r="B374" s="72" t="s">
        <v>209</v>
      </c>
      <c r="C374" s="40"/>
      <c r="D374" s="40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0"/>
      <c r="R374" s="40"/>
      <c r="S374" s="40"/>
      <c r="T374" s="73">
        <v>100000</v>
      </c>
      <c r="U374" s="41"/>
      <c r="V374" s="145" t="s">
        <v>102</v>
      </c>
      <c r="W374" s="42"/>
      <c r="X374" s="42">
        <v>53.9</v>
      </c>
      <c r="Y374" s="46"/>
      <c r="Z374" s="43"/>
      <c r="AA374" s="40"/>
      <c r="AB374" s="40"/>
      <c r="AC374" s="43"/>
      <c r="AD374" s="43"/>
      <c r="AE374" s="43"/>
      <c r="AF374" s="43"/>
      <c r="AG374" s="75">
        <v>44875</v>
      </c>
      <c r="AH374" s="75">
        <v>44875</v>
      </c>
      <c r="AI374" s="78"/>
      <c r="AJ374" s="77"/>
      <c r="AK374" s="77"/>
      <c r="AL374" s="134" t="s">
        <v>31</v>
      </c>
      <c r="AM374" s="73">
        <v>100000</v>
      </c>
      <c r="AN374" s="44"/>
      <c r="AO374" s="44"/>
      <c r="AP374" s="73">
        <v>98790</v>
      </c>
      <c r="AQ374" s="44"/>
      <c r="AR374" s="44"/>
      <c r="AS374" s="40"/>
      <c r="AT374" s="40"/>
      <c r="AU374" s="40"/>
      <c r="AV374" s="40"/>
      <c r="AW374" s="40"/>
      <c r="AX374" s="40"/>
      <c r="AY374" s="188"/>
      <c r="AZ374" s="98"/>
    </row>
    <row r="375" spans="1:52" s="19" customFormat="1" ht="12.75" x14ac:dyDescent="0.2">
      <c r="A375" s="72" t="s">
        <v>143</v>
      </c>
      <c r="B375" s="72" t="s">
        <v>185</v>
      </c>
      <c r="C375" s="40"/>
      <c r="D375" s="40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0"/>
      <c r="R375" s="40"/>
      <c r="S375" s="40"/>
      <c r="T375" s="73">
        <v>51500</v>
      </c>
      <c r="U375" s="41"/>
      <c r="V375" s="149" t="s">
        <v>102</v>
      </c>
      <c r="W375" s="42"/>
      <c r="X375" s="42">
        <v>53.9</v>
      </c>
      <c r="Y375" s="46"/>
      <c r="Z375" s="43"/>
      <c r="AA375" s="40"/>
      <c r="AB375" s="40"/>
      <c r="AC375" s="43"/>
      <c r="AD375" s="43"/>
      <c r="AE375" s="43"/>
      <c r="AF375" s="43"/>
      <c r="AG375" s="75">
        <v>44875</v>
      </c>
      <c r="AH375" s="75">
        <v>44875</v>
      </c>
      <c r="AI375" s="77">
        <v>44914</v>
      </c>
      <c r="AJ375" s="77">
        <v>44917</v>
      </c>
      <c r="AK375" s="77">
        <v>44917</v>
      </c>
      <c r="AL375" s="134" t="s">
        <v>31</v>
      </c>
      <c r="AM375" s="73">
        <v>51500</v>
      </c>
      <c r="AN375" s="44"/>
      <c r="AO375" s="44"/>
      <c r="AP375" s="73">
        <v>50915</v>
      </c>
      <c r="AQ375" s="44"/>
      <c r="AR375" s="44"/>
      <c r="AS375" s="40"/>
      <c r="AT375" s="40"/>
      <c r="AU375" s="40"/>
      <c r="AV375" s="40"/>
      <c r="AW375" s="40"/>
      <c r="AX375" s="40"/>
      <c r="AY375" s="188"/>
      <c r="AZ375" s="98"/>
    </row>
    <row r="376" spans="1:52" s="19" customFormat="1" ht="12.75" x14ac:dyDescent="0.2">
      <c r="A376" s="72" t="s">
        <v>138</v>
      </c>
      <c r="B376" s="72" t="s">
        <v>197</v>
      </c>
      <c r="C376" s="40"/>
      <c r="D376" s="40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0"/>
      <c r="R376" s="40"/>
      <c r="S376" s="40"/>
      <c r="T376" s="73">
        <v>25900</v>
      </c>
      <c r="U376" s="41"/>
      <c r="V376" s="149" t="s">
        <v>102</v>
      </c>
      <c r="W376" s="42"/>
      <c r="X376" s="42">
        <v>53.9</v>
      </c>
      <c r="Y376" s="46"/>
      <c r="Z376" s="43"/>
      <c r="AA376" s="40"/>
      <c r="AB376" s="40"/>
      <c r="AC376" s="43"/>
      <c r="AD376" s="43"/>
      <c r="AE376" s="43"/>
      <c r="AF376" s="43"/>
      <c r="AG376" s="75">
        <v>44875</v>
      </c>
      <c r="AH376" s="75">
        <v>44875</v>
      </c>
      <c r="AI376" s="78"/>
      <c r="AJ376" s="77"/>
      <c r="AK376" s="77"/>
      <c r="AL376" s="134" t="s">
        <v>31</v>
      </c>
      <c r="AM376" s="73">
        <v>25900</v>
      </c>
      <c r="AN376" s="44"/>
      <c r="AO376" s="44"/>
      <c r="AP376" s="73">
        <v>25160</v>
      </c>
      <c r="AQ376" s="44"/>
      <c r="AR376" s="44"/>
      <c r="AS376" s="40"/>
      <c r="AT376" s="40"/>
      <c r="AU376" s="40"/>
      <c r="AV376" s="40"/>
      <c r="AW376" s="40"/>
      <c r="AX376" s="40"/>
      <c r="AY376" s="188"/>
      <c r="AZ376" s="98"/>
    </row>
    <row r="377" spans="1:52" s="19" customFormat="1" ht="12.75" x14ac:dyDescent="0.2">
      <c r="A377" s="72" t="s">
        <v>145</v>
      </c>
      <c r="B377" s="72" t="s">
        <v>201</v>
      </c>
      <c r="C377" s="40"/>
      <c r="D377" s="40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0"/>
      <c r="R377" s="40"/>
      <c r="S377" s="40"/>
      <c r="T377" s="73">
        <v>25000</v>
      </c>
      <c r="U377" s="41"/>
      <c r="V377" s="149" t="s">
        <v>95</v>
      </c>
      <c r="W377" s="42"/>
      <c r="X377" s="42">
        <v>53.9</v>
      </c>
      <c r="Y377" s="46"/>
      <c r="Z377" s="43"/>
      <c r="AA377" s="40"/>
      <c r="AB377" s="40"/>
      <c r="AC377" s="43"/>
      <c r="AD377" s="43"/>
      <c r="AE377" s="43"/>
      <c r="AF377" s="43"/>
      <c r="AG377" s="75">
        <v>44875</v>
      </c>
      <c r="AH377" s="75">
        <v>44875</v>
      </c>
      <c r="AI377" s="78"/>
      <c r="AJ377" s="77"/>
      <c r="AK377" s="77"/>
      <c r="AL377" s="134" t="s">
        <v>31</v>
      </c>
      <c r="AM377" s="73">
        <v>25000</v>
      </c>
      <c r="AN377" s="44"/>
      <c r="AO377" s="44"/>
      <c r="AP377" s="73">
        <v>24700</v>
      </c>
      <c r="AQ377" s="44"/>
      <c r="AR377" s="44"/>
      <c r="AS377" s="40"/>
      <c r="AT377" s="40"/>
      <c r="AU377" s="40"/>
      <c r="AV377" s="40"/>
      <c r="AW377" s="40"/>
      <c r="AX377" s="40"/>
      <c r="AY377" s="188"/>
      <c r="AZ377" s="98"/>
    </row>
    <row r="378" spans="1:52" s="19" customFormat="1" ht="25.5" x14ac:dyDescent="0.2">
      <c r="A378" s="72" t="s">
        <v>154</v>
      </c>
      <c r="B378" s="72" t="s">
        <v>225</v>
      </c>
      <c r="C378" s="40"/>
      <c r="D378" s="40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0"/>
      <c r="R378" s="40"/>
      <c r="S378" s="40"/>
      <c r="T378" s="73">
        <v>4000</v>
      </c>
      <c r="U378" s="41"/>
      <c r="V378" s="149" t="s">
        <v>95</v>
      </c>
      <c r="W378" s="42"/>
      <c r="X378" s="42">
        <v>53.9</v>
      </c>
      <c r="Y378" s="46"/>
      <c r="Z378" s="43"/>
      <c r="AA378" s="40"/>
      <c r="AB378" s="40"/>
      <c r="AC378" s="43"/>
      <c r="AD378" s="43"/>
      <c r="AE378" s="43"/>
      <c r="AF378" s="43"/>
      <c r="AG378" s="75">
        <v>44875</v>
      </c>
      <c r="AH378" s="75">
        <v>44875</v>
      </c>
      <c r="AI378" s="78"/>
      <c r="AJ378" s="77"/>
      <c r="AK378" s="77"/>
      <c r="AL378" s="134" t="s">
        <v>31</v>
      </c>
      <c r="AM378" s="73">
        <v>4000</v>
      </c>
      <c r="AN378" s="44"/>
      <c r="AO378" s="44"/>
      <c r="AP378" s="73">
        <v>3800</v>
      </c>
      <c r="AQ378" s="44"/>
      <c r="AR378" s="44"/>
      <c r="AS378" s="40"/>
      <c r="AT378" s="40"/>
      <c r="AU378" s="40"/>
      <c r="AV378" s="40"/>
      <c r="AW378" s="40"/>
      <c r="AX378" s="40"/>
      <c r="AY378" s="188"/>
      <c r="AZ378" s="98"/>
    </row>
    <row r="379" spans="1:52" s="19" customFormat="1" ht="12.75" x14ac:dyDescent="0.2">
      <c r="A379" s="72" t="s">
        <v>134</v>
      </c>
      <c r="B379" s="72" t="s">
        <v>110</v>
      </c>
      <c r="C379" s="40"/>
      <c r="D379" s="40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0"/>
      <c r="R379" s="40"/>
      <c r="S379" s="40"/>
      <c r="T379" s="73">
        <v>2000</v>
      </c>
      <c r="U379" s="41"/>
      <c r="V379" s="149" t="s">
        <v>95</v>
      </c>
      <c r="W379" s="42"/>
      <c r="X379" s="42">
        <v>53.9</v>
      </c>
      <c r="Y379" s="46"/>
      <c r="Z379" s="43"/>
      <c r="AA379" s="40"/>
      <c r="AB379" s="40"/>
      <c r="AC379" s="43"/>
      <c r="AD379" s="43"/>
      <c r="AE379" s="43"/>
      <c r="AF379" s="43"/>
      <c r="AG379" s="75">
        <v>44875</v>
      </c>
      <c r="AH379" s="75">
        <v>44875</v>
      </c>
      <c r="AI379" s="78"/>
      <c r="AJ379" s="78"/>
      <c r="AK379" s="78"/>
      <c r="AL379" s="134" t="s">
        <v>31</v>
      </c>
      <c r="AM379" s="73">
        <v>2000</v>
      </c>
      <c r="AN379" s="44"/>
      <c r="AO379" s="44"/>
      <c r="AP379" s="73">
        <v>1900</v>
      </c>
      <c r="AQ379" s="44"/>
      <c r="AR379" s="44"/>
      <c r="AS379" s="40"/>
      <c r="AT379" s="40"/>
      <c r="AU379" s="40"/>
      <c r="AV379" s="40"/>
      <c r="AW379" s="40"/>
      <c r="AX379" s="40"/>
      <c r="AY379" s="188"/>
      <c r="AZ379" s="98"/>
    </row>
    <row r="380" spans="1:52" s="19" customFormat="1" ht="12.75" x14ac:dyDescent="0.2">
      <c r="A380" s="72" t="s">
        <v>152</v>
      </c>
      <c r="B380" s="72" t="s">
        <v>124</v>
      </c>
      <c r="C380" s="40"/>
      <c r="D380" s="40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0"/>
      <c r="R380" s="40"/>
      <c r="S380" s="40"/>
      <c r="T380" s="73">
        <v>1500</v>
      </c>
      <c r="U380" s="41"/>
      <c r="V380" s="149" t="s">
        <v>95</v>
      </c>
      <c r="W380" s="42"/>
      <c r="X380" s="42">
        <v>53.9</v>
      </c>
      <c r="Y380" s="46"/>
      <c r="Z380" s="43"/>
      <c r="AA380" s="40"/>
      <c r="AB380" s="40"/>
      <c r="AC380" s="43"/>
      <c r="AD380" s="43"/>
      <c r="AE380" s="43"/>
      <c r="AF380" s="43"/>
      <c r="AG380" s="75">
        <v>44875</v>
      </c>
      <c r="AH380" s="75">
        <v>44875</v>
      </c>
      <c r="AI380" s="78"/>
      <c r="AJ380" s="78"/>
      <c r="AK380" s="78"/>
      <c r="AL380" s="134" t="s">
        <v>31</v>
      </c>
      <c r="AM380" s="73">
        <v>1500</v>
      </c>
      <c r="AN380" s="44"/>
      <c r="AO380" s="44"/>
      <c r="AP380" s="73">
        <v>1450</v>
      </c>
      <c r="AQ380" s="44"/>
      <c r="AR380" s="44"/>
      <c r="AS380" s="40"/>
      <c r="AT380" s="40"/>
      <c r="AU380" s="40"/>
      <c r="AV380" s="40"/>
      <c r="AW380" s="40"/>
      <c r="AX380" s="40"/>
      <c r="AY380" s="188"/>
      <c r="AZ380" s="98"/>
    </row>
    <row r="381" spans="1:52" s="19" customFormat="1" ht="12.75" x14ac:dyDescent="0.2">
      <c r="A381" s="72" t="s">
        <v>138</v>
      </c>
      <c r="B381" s="146" t="s">
        <v>197</v>
      </c>
      <c r="C381" s="40"/>
      <c r="D381" s="40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0"/>
      <c r="R381" s="40"/>
      <c r="S381" s="40"/>
      <c r="T381" s="73">
        <v>104100</v>
      </c>
      <c r="U381" s="41"/>
      <c r="V381" s="149" t="s">
        <v>79</v>
      </c>
      <c r="W381" s="42"/>
      <c r="X381" s="42">
        <v>53.9</v>
      </c>
      <c r="Y381" s="46"/>
      <c r="Z381" s="43"/>
      <c r="AA381" s="40"/>
      <c r="AB381" s="40"/>
      <c r="AC381" s="43"/>
      <c r="AD381" s="43"/>
      <c r="AE381" s="43"/>
      <c r="AF381" s="43"/>
      <c r="AG381" s="75">
        <v>44875</v>
      </c>
      <c r="AH381" s="75">
        <v>44875</v>
      </c>
      <c r="AI381" s="77">
        <v>44907</v>
      </c>
      <c r="AJ381" s="77">
        <v>44914</v>
      </c>
      <c r="AK381" s="77">
        <v>44914</v>
      </c>
      <c r="AL381" s="134" t="s">
        <v>31</v>
      </c>
      <c r="AM381" s="73">
        <v>104100</v>
      </c>
      <c r="AN381" s="44"/>
      <c r="AO381" s="44"/>
      <c r="AP381" s="73">
        <v>103924</v>
      </c>
      <c r="AQ381" s="44"/>
      <c r="AR381" s="44"/>
      <c r="AS381" s="40"/>
      <c r="AT381" s="40"/>
      <c r="AU381" s="40"/>
      <c r="AV381" s="40"/>
      <c r="AW381" s="40"/>
      <c r="AX381" s="40"/>
      <c r="AY381" s="188"/>
      <c r="AZ381" s="98"/>
    </row>
    <row r="382" spans="1:52" s="19" customFormat="1" ht="12.75" x14ac:dyDescent="0.2">
      <c r="A382" s="72" t="s">
        <v>137</v>
      </c>
      <c r="B382" s="72" t="s">
        <v>209</v>
      </c>
      <c r="C382" s="40"/>
      <c r="D382" s="40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0"/>
      <c r="R382" s="40"/>
      <c r="S382" s="40"/>
      <c r="T382" s="73">
        <v>25000</v>
      </c>
      <c r="U382" s="41"/>
      <c r="V382" s="149" t="s">
        <v>79</v>
      </c>
      <c r="W382" s="42"/>
      <c r="X382" s="42">
        <v>53.9</v>
      </c>
      <c r="Y382" s="46"/>
      <c r="Z382" s="43"/>
      <c r="AA382" s="40"/>
      <c r="AB382" s="40"/>
      <c r="AC382" s="43"/>
      <c r="AD382" s="43"/>
      <c r="AE382" s="43"/>
      <c r="AF382" s="43"/>
      <c r="AG382" s="75">
        <v>44875</v>
      </c>
      <c r="AH382" s="75">
        <v>44875</v>
      </c>
      <c r="AI382" s="77">
        <v>44907</v>
      </c>
      <c r="AJ382" s="77">
        <v>44914</v>
      </c>
      <c r="AK382" s="77">
        <v>44914</v>
      </c>
      <c r="AL382" s="134" t="s">
        <v>31</v>
      </c>
      <c r="AM382" s="73">
        <v>25000</v>
      </c>
      <c r="AN382" s="44"/>
      <c r="AO382" s="44"/>
      <c r="AP382" s="73">
        <v>24703</v>
      </c>
      <c r="AQ382" s="44"/>
      <c r="AR382" s="44"/>
      <c r="AS382" s="40"/>
      <c r="AT382" s="40"/>
      <c r="AU382" s="40"/>
      <c r="AV382" s="40"/>
      <c r="AW382" s="40"/>
      <c r="AX382" s="40"/>
      <c r="AY382" s="188"/>
      <c r="AZ382" s="98"/>
    </row>
    <row r="383" spans="1:52" s="19" customFormat="1" ht="12.75" x14ac:dyDescent="0.2">
      <c r="A383" s="72" t="s">
        <v>152</v>
      </c>
      <c r="B383" s="72" t="s">
        <v>124</v>
      </c>
      <c r="C383" s="40"/>
      <c r="D383" s="40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0"/>
      <c r="R383" s="40"/>
      <c r="S383" s="40"/>
      <c r="T383" s="73">
        <v>7500</v>
      </c>
      <c r="U383" s="41"/>
      <c r="V383" s="149" t="s">
        <v>79</v>
      </c>
      <c r="W383" s="42"/>
      <c r="X383" s="42">
        <v>53.9</v>
      </c>
      <c r="Y383" s="46"/>
      <c r="Z383" s="43"/>
      <c r="AA383" s="40"/>
      <c r="AB383" s="40"/>
      <c r="AC383" s="43"/>
      <c r="AD383" s="43"/>
      <c r="AE383" s="43"/>
      <c r="AF383" s="43"/>
      <c r="AG383" s="75">
        <v>44875</v>
      </c>
      <c r="AH383" s="75">
        <v>44875</v>
      </c>
      <c r="AI383" s="77">
        <v>44907</v>
      </c>
      <c r="AJ383" s="77">
        <v>44914</v>
      </c>
      <c r="AK383" s="77">
        <v>44914</v>
      </c>
      <c r="AL383" s="134" t="s">
        <v>31</v>
      </c>
      <c r="AM383" s="73">
        <v>7500</v>
      </c>
      <c r="AN383" s="44"/>
      <c r="AO383" s="44"/>
      <c r="AP383" s="73">
        <v>7495</v>
      </c>
      <c r="AQ383" s="44"/>
      <c r="AR383" s="44"/>
      <c r="AS383" s="40"/>
      <c r="AT383" s="40"/>
      <c r="AU383" s="40"/>
      <c r="AV383" s="40"/>
      <c r="AW383" s="40"/>
      <c r="AX383" s="40"/>
      <c r="AY383" s="188"/>
      <c r="AZ383" s="98"/>
    </row>
    <row r="384" spans="1:52" s="19" customFormat="1" ht="12.75" x14ac:dyDescent="0.2">
      <c r="A384" s="72" t="s">
        <v>141</v>
      </c>
      <c r="B384" s="72" t="s">
        <v>130</v>
      </c>
      <c r="C384" s="40"/>
      <c r="D384" s="40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0"/>
      <c r="R384" s="40"/>
      <c r="S384" s="40"/>
      <c r="T384" s="73">
        <v>5000</v>
      </c>
      <c r="U384" s="41"/>
      <c r="V384" s="149" t="s">
        <v>79</v>
      </c>
      <c r="W384" s="42"/>
      <c r="X384" s="42">
        <v>53.9</v>
      </c>
      <c r="Y384" s="46"/>
      <c r="Z384" s="43"/>
      <c r="AA384" s="40"/>
      <c r="AB384" s="40"/>
      <c r="AC384" s="43"/>
      <c r="AD384" s="43"/>
      <c r="AE384" s="43"/>
      <c r="AF384" s="43"/>
      <c r="AG384" s="75">
        <v>44875</v>
      </c>
      <c r="AH384" s="75">
        <v>44875</v>
      </c>
      <c r="AI384" s="77">
        <v>44907</v>
      </c>
      <c r="AJ384" s="77">
        <v>44914</v>
      </c>
      <c r="AK384" s="77">
        <v>44914</v>
      </c>
      <c r="AL384" s="134" t="s">
        <v>31</v>
      </c>
      <c r="AM384" s="73">
        <v>5000</v>
      </c>
      <c r="AN384" s="44"/>
      <c r="AO384" s="44"/>
      <c r="AP384" s="73">
        <v>4990</v>
      </c>
      <c r="AQ384" s="44"/>
      <c r="AR384" s="44"/>
      <c r="AS384" s="40"/>
      <c r="AT384" s="40"/>
      <c r="AU384" s="40"/>
      <c r="AV384" s="40"/>
      <c r="AW384" s="40"/>
      <c r="AX384" s="40"/>
      <c r="AY384" s="188"/>
      <c r="AZ384" s="98"/>
    </row>
    <row r="385" spans="1:52" s="19" customFormat="1" ht="12.75" x14ac:dyDescent="0.2">
      <c r="A385" s="72" t="s">
        <v>150</v>
      </c>
      <c r="B385" s="72" t="s">
        <v>188</v>
      </c>
      <c r="C385" s="40"/>
      <c r="D385" s="40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0"/>
      <c r="R385" s="40"/>
      <c r="S385" s="40"/>
      <c r="T385" s="73">
        <v>24600</v>
      </c>
      <c r="U385" s="41"/>
      <c r="V385" s="149" t="s">
        <v>79</v>
      </c>
      <c r="W385" s="42"/>
      <c r="X385" s="42">
        <v>53.9</v>
      </c>
      <c r="Y385" s="46"/>
      <c r="Z385" s="43"/>
      <c r="AA385" s="40"/>
      <c r="AB385" s="40"/>
      <c r="AC385" s="43"/>
      <c r="AD385" s="43"/>
      <c r="AE385" s="43"/>
      <c r="AF385" s="43"/>
      <c r="AG385" s="75">
        <v>44875</v>
      </c>
      <c r="AH385" s="75">
        <v>44875</v>
      </c>
      <c r="AI385" s="77">
        <v>44907</v>
      </c>
      <c r="AJ385" s="77">
        <v>44914</v>
      </c>
      <c r="AK385" s="77">
        <v>44914</v>
      </c>
      <c r="AL385" s="134" t="s">
        <v>31</v>
      </c>
      <c r="AM385" s="73">
        <v>24600</v>
      </c>
      <c r="AN385" s="44"/>
      <c r="AO385" s="44"/>
      <c r="AP385" s="73">
        <v>24518</v>
      </c>
      <c r="AQ385" s="44"/>
      <c r="AR385" s="44"/>
      <c r="AS385" s="40"/>
      <c r="AT385" s="40"/>
      <c r="AU385" s="40"/>
      <c r="AV385" s="40"/>
      <c r="AW385" s="40"/>
      <c r="AX385" s="40"/>
      <c r="AY385" s="188"/>
      <c r="AZ385" s="98"/>
    </row>
    <row r="386" spans="1:52" s="19" customFormat="1" ht="12.75" x14ac:dyDescent="0.2">
      <c r="A386" s="72" t="s">
        <v>136</v>
      </c>
      <c r="B386" s="72" t="s">
        <v>189</v>
      </c>
      <c r="C386" s="40"/>
      <c r="D386" s="40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0"/>
      <c r="R386" s="40"/>
      <c r="S386" s="40"/>
      <c r="T386" s="73">
        <v>3000</v>
      </c>
      <c r="U386" s="41"/>
      <c r="V386" s="145" t="s">
        <v>226</v>
      </c>
      <c r="W386" s="42"/>
      <c r="X386" s="42">
        <v>53.9</v>
      </c>
      <c r="Y386" s="46"/>
      <c r="Z386" s="43"/>
      <c r="AA386" s="40"/>
      <c r="AB386" s="40"/>
      <c r="AC386" s="43"/>
      <c r="AD386" s="43"/>
      <c r="AE386" s="43"/>
      <c r="AF386" s="43"/>
      <c r="AG386" s="75">
        <v>44873</v>
      </c>
      <c r="AH386" s="75">
        <v>44873</v>
      </c>
      <c r="AI386" s="77">
        <v>44897</v>
      </c>
      <c r="AJ386" s="77">
        <v>44904</v>
      </c>
      <c r="AK386" s="77">
        <v>44904</v>
      </c>
      <c r="AL386" s="134" t="s">
        <v>31</v>
      </c>
      <c r="AM386" s="73">
        <v>3000</v>
      </c>
      <c r="AN386" s="44"/>
      <c r="AO386" s="44"/>
      <c r="AP386" s="73">
        <v>2991</v>
      </c>
      <c r="AQ386" s="44"/>
      <c r="AR386" s="44"/>
      <c r="AS386" s="40"/>
      <c r="AT386" s="40"/>
      <c r="AU386" s="40"/>
      <c r="AV386" s="40"/>
      <c r="AW386" s="40"/>
      <c r="AX386" s="40"/>
      <c r="AY386" s="188"/>
      <c r="AZ386" s="98"/>
    </row>
    <row r="387" spans="1:52" s="19" customFormat="1" ht="12.75" x14ac:dyDescent="0.2">
      <c r="A387" s="72" t="s">
        <v>143</v>
      </c>
      <c r="B387" s="72" t="s">
        <v>185</v>
      </c>
      <c r="C387" s="40"/>
      <c r="D387" s="40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0"/>
      <c r="R387" s="40"/>
      <c r="S387" s="40"/>
      <c r="T387" s="73">
        <v>45000</v>
      </c>
      <c r="U387" s="41"/>
      <c r="V387" s="145" t="s">
        <v>80</v>
      </c>
      <c r="W387" s="42"/>
      <c r="X387" s="42">
        <v>53.9</v>
      </c>
      <c r="Y387" s="46"/>
      <c r="Z387" s="43"/>
      <c r="AA387" s="40"/>
      <c r="AB387" s="40"/>
      <c r="AC387" s="43"/>
      <c r="AD387" s="43"/>
      <c r="AE387" s="43"/>
      <c r="AF387" s="43"/>
      <c r="AG387" s="75">
        <v>44875</v>
      </c>
      <c r="AH387" s="75">
        <v>44875</v>
      </c>
      <c r="AI387" s="78"/>
      <c r="AJ387" s="78"/>
      <c r="AK387" s="78"/>
      <c r="AL387" s="134" t="s">
        <v>31</v>
      </c>
      <c r="AM387" s="73">
        <v>45000</v>
      </c>
      <c r="AN387" s="44"/>
      <c r="AO387" s="44"/>
      <c r="AP387" s="73">
        <v>44505</v>
      </c>
      <c r="AQ387" s="44"/>
      <c r="AR387" s="44"/>
      <c r="AS387" s="40"/>
      <c r="AT387" s="40"/>
      <c r="AU387" s="40"/>
      <c r="AV387" s="40"/>
      <c r="AW387" s="40"/>
      <c r="AX387" s="40"/>
      <c r="AY387" s="188"/>
      <c r="AZ387" s="98"/>
    </row>
    <row r="388" spans="1:52" s="19" customFormat="1" ht="25.5" x14ac:dyDescent="0.2">
      <c r="A388" s="72" t="s">
        <v>139</v>
      </c>
      <c r="B388" s="72" t="s">
        <v>198</v>
      </c>
      <c r="C388" s="40"/>
      <c r="D388" s="40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0"/>
      <c r="R388" s="40"/>
      <c r="S388" s="40"/>
      <c r="T388" s="73">
        <v>101500</v>
      </c>
      <c r="U388" s="41"/>
      <c r="V388" s="145" t="s">
        <v>80</v>
      </c>
      <c r="W388" s="42"/>
      <c r="X388" s="42">
        <v>53.9</v>
      </c>
      <c r="Y388" s="46"/>
      <c r="Z388" s="43"/>
      <c r="AA388" s="40"/>
      <c r="AB388" s="40"/>
      <c r="AC388" s="43"/>
      <c r="AD388" s="43"/>
      <c r="AE388" s="43"/>
      <c r="AF388" s="43"/>
      <c r="AG388" s="75">
        <v>44879</v>
      </c>
      <c r="AH388" s="75">
        <v>44879</v>
      </c>
      <c r="AI388" s="78"/>
      <c r="AJ388" s="78"/>
      <c r="AK388" s="78"/>
      <c r="AL388" s="134" t="s">
        <v>31</v>
      </c>
      <c r="AM388" s="73">
        <v>101500</v>
      </c>
      <c r="AN388" s="44"/>
      <c r="AO388" s="44"/>
      <c r="AP388" s="73">
        <v>100645</v>
      </c>
      <c r="AQ388" s="44"/>
      <c r="AR388" s="44"/>
      <c r="AS388" s="40"/>
      <c r="AT388" s="40"/>
      <c r="AU388" s="40"/>
      <c r="AV388" s="40"/>
      <c r="AW388" s="40"/>
      <c r="AX388" s="40"/>
      <c r="AY388" s="188"/>
      <c r="AZ388" s="98"/>
    </row>
    <row r="389" spans="1:52" s="19" customFormat="1" ht="12.75" x14ac:dyDescent="0.2">
      <c r="A389" s="72" t="s">
        <v>136</v>
      </c>
      <c r="B389" s="72" t="s">
        <v>189</v>
      </c>
      <c r="C389" s="40"/>
      <c r="D389" s="40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0"/>
      <c r="R389" s="40"/>
      <c r="S389" s="40"/>
      <c r="T389" s="73">
        <v>52500</v>
      </c>
      <c r="U389" s="41"/>
      <c r="V389" s="145" t="s">
        <v>80</v>
      </c>
      <c r="W389" s="42"/>
      <c r="X389" s="42">
        <v>53.9</v>
      </c>
      <c r="Y389" s="46"/>
      <c r="Z389" s="43"/>
      <c r="AA389" s="40"/>
      <c r="AB389" s="40"/>
      <c r="AC389" s="43"/>
      <c r="AD389" s="43"/>
      <c r="AE389" s="43"/>
      <c r="AF389" s="43"/>
      <c r="AG389" s="75">
        <v>44879</v>
      </c>
      <c r="AH389" s="75">
        <v>44879</v>
      </c>
      <c r="AI389" s="77">
        <v>44914</v>
      </c>
      <c r="AJ389" s="77">
        <v>44915</v>
      </c>
      <c r="AK389" s="77">
        <v>44915</v>
      </c>
      <c r="AL389" s="134" t="s">
        <v>31</v>
      </c>
      <c r="AM389" s="73">
        <v>52500</v>
      </c>
      <c r="AN389" s="44"/>
      <c r="AO389" s="44"/>
      <c r="AP389" s="73">
        <v>52320</v>
      </c>
      <c r="AQ389" s="44"/>
      <c r="AR389" s="44"/>
      <c r="AS389" s="40"/>
      <c r="AT389" s="40"/>
      <c r="AU389" s="40"/>
      <c r="AV389" s="40"/>
      <c r="AW389" s="40"/>
      <c r="AX389" s="40"/>
      <c r="AY389" s="188"/>
      <c r="AZ389" s="98"/>
    </row>
    <row r="390" spans="1:52" s="19" customFormat="1" ht="25.5" x14ac:dyDescent="0.2">
      <c r="A390" s="153" t="s">
        <v>139</v>
      </c>
      <c r="B390" s="72" t="s">
        <v>198</v>
      </c>
      <c r="C390" s="40"/>
      <c r="D390" s="40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0"/>
      <c r="R390" s="40"/>
      <c r="S390" s="40"/>
      <c r="T390" s="154">
        <v>20000</v>
      </c>
      <c r="U390" s="41"/>
      <c r="V390" s="145" t="s">
        <v>87</v>
      </c>
      <c r="W390" s="42"/>
      <c r="X390" s="42">
        <v>53.9</v>
      </c>
      <c r="Y390" s="46"/>
      <c r="Z390" s="43"/>
      <c r="AA390" s="40"/>
      <c r="AB390" s="40"/>
      <c r="AC390" s="43"/>
      <c r="AD390" s="43"/>
      <c r="AE390" s="43"/>
      <c r="AF390" s="43"/>
      <c r="AG390" s="75">
        <v>44875</v>
      </c>
      <c r="AH390" s="75">
        <v>44875</v>
      </c>
      <c r="AI390" s="77">
        <v>44897</v>
      </c>
      <c r="AJ390" s="77">
        <v>44904</v>
      </c>
      <c r="AK390" s="77">
        <v>44904</v>
      </c>
      <c r="AL390" s="134" t="s">
        <v>31</v>
      </c>
      <c r="AM390" s="154">
        <v>20000</v>
      </c>
      <c r="AN390" s="44"/>
      <c r="AO390" s="44"/>
      <c r="AP390" s="73">
        <v>19054</v>
      </c>
      <c r="AQ390" s="44"/>
      <c r="AR390" s="44"/>
      <c r="AS390" s="40"/>
      <c r="AT390" s="40"/>
      <c r="AU390" s="40"/>
      <c r="AV390" s="40"/>
      <c r="AW390" s="40"/>
      <c r="AX390" s="40"/>
      <c r="AY390" s="188"/>
      <c r="AZ390" s="98"/>
    </row>
    <row r="391" spans="1:52" s="19" customFormat="1" ht="12.75" x14ac:dyDescent="0.2">
      <c r="A391" s="153" t="s">
        <v>143</v>
      </c>
      <c r="B391" s="72" t="s">
        <v>185</v>
      </c>
      <c r="C391" s="40"/>
      <c r="D391" s="40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0"/>
      <c r="R391" s="40"/>
      <c r="S391" s="40"/>
      <c r="T391" s="73">
        <v>30000</v>
      </c>
      <c r="U391" s="41"/>
      <c r="V391" s="145" t="s">
        <v>87</v>
      </c>
      <c r="W391" s="42"/>
      <c r="X391" s="42">
        <v>53.9</v>
      </c>
      <c r="Y391" s="46"/>
      <c r="Z391" s="43"/>
      <c r="AA391" s="40"/>
      <c r="AB391" s="40"/>
      <c r="AC391" s="43"/>
      <c r="AD391" s="43"/>
      <c r="AE391" s="43"/>
      <c r="AF391" s="43"/>
      <c r="AG391" s="75">
        <v>44875</v>
      </c>
      <c r="AH391" s="75">
        <v>44875</v>
      </c>
      <c r="AI391" s="77">
        <v>44909</v>
      </c>
      <c r="AJ391" s="77">
        <v>44915</v>
      </c>
      <c r="AK391" s="77">
        <v>44915</v>
      </c>
      <c r="AL391" s="134" t="s">
        <v>31</v>
      </c>
      <c r="AM391" s="73">
        <v>30000</v>
      </c>
      <c r="AN391" s="44"/>
      <c r="AO391" s="44"/>
      <c r="AP391" s="73">
        <v>29635</v>
      </c>
      <c r="AQ391" s="44"/>
      <c r="AR391" s="44"/>
      <c r="AS391" s="40"/>
      <c r="AT391" s="40"/>
      <c r="AU391" s="40"/>
      <c r="AV391" s="40"/>
      <c r="AW391" s="40"/>
      <c r="AX391" s="40"/>
      <c r="AY391" s="188"/>
      <c r="AZ391" s="98"/>
    </row>
    <row r="392" spans="1:52" s="19" customFormat="1" ht="12.75" x14ac:dyDescent="0.2">
      <c r="A392" s="153" t="s">
        <v>227</v>
      </c>
      <c r="B392" s="72" t="s">
        <v>209</v>
      </c>
      <c r="C392" s="40"/>
      <c r="D392" s="40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0"/>
      <c r="R392" s="40"/>
      <c r="S392" s="40"/>
      <c r="T392" s="73">
        <v>51000</v>
      </c>
      <c r="U392" s="41"/>
      <c r="V392" s="149" t="s">
        <v>91</v>
      </c>
      <c r="W392" s="42"/>
      <c r="X392" s="42">
        <v>53.9</v>
      </c>
      <c r="Y392" s="46"/>
      <c r="Z392" s="43"/>
      <c r="AA392" s="40"/>
      <c r="AB392" s="40"/>
      <c r="AC392" s="43"/>
      <c r="AD392" s="43"/>
      <c r="AE392" s="43"/>
      <c r="AF392" s="43"/>
      <c r="AG392" s="75">
        <v>44879</v>
      </c>
      <c r="AH392" s="75">
        <v>44879</v>
      </c>
      <c r="AI392" s="77">
        <v>44907</v>
      </c>
      <c r="AJ392" s="77">
        <v>44914</v>
      </c>
      <c r="AK392" s="77">
        <v>44914</v>
      </c>
      <c r="AL392" s="134" t="s">
        <v>31</v>
      </c>
      <c r="AM392" s="73">
        <v>51000</v>
      </c>
      <c r="AN392" s="44"/>
      <c r="AO392" s="44"/>
      <c r="AP392" s="73">
        <v>50007</v>
      </c>
      <c r="AQ392" s="44"/>
      <c r="AR392" s="44"/>
      <c r="AS392" s="40"/>
      <c r="AT392" s="40"/>
      <c r="AU392" s="40"/>
      <c r="AV392" s="40"/>
      <c r="AW392" s="40"/>
      <c r="AX392" s="40"/>
      <c r="AY392" s="188"/>
      <c r="AZ392" s="98"/>
    </row>
    <row r="393" spans="1:52" s="19" customFormat="1" ht="12.75" x14ac:dyDescent="0.2">
      <c r="A393" s="153" t="s">
        <v>152</v>
      </c>
      <c r="B393" s="72" t="s">
        <v>124</v>
      </c>
      <c r="C393" s="40"/>
      <c r="D393" s="40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0"/>
      <c r="R393" s="40"/>
      <c r="S393" s="40"/>
      <c r="T393" s="73">
        <v>2000</v>
      </c>
      <c r="U393" s="41"/>
      <c r="V393" s="149" t="s">
        <v>91</v>
      </c>
      <c r="W393" s="42"/>
      <c r="X393" s="42">
        <v>53.9</v>
      </c>
      <c r="Y393" s="46"/>
      <c r="Z393" s="43"/>
      <c r="AA393" s="40"/>
      <c r="AB393" s="40"/>
      <c r="AC393" s="43"/>
      <c r="AD393" s="43"/>
      <c r="AE393" s="43"/>
      <c r="AF393" s="43"/>
      <c r="AG393" s="75">
        <v>44879</v>
      </c>
      <c r="AH393" s="75">
        <v>44879</v>
      </c>
      <c r="AI393" s="77">
        <v>44907</v>
      </c>
      <c r="AJ393" s="77">
        <v>44914</v>
      </c>
      <c r="AK393" s="77">
        <v>44914</v>
      </c>
      <c r="AL393" s="134" t="s">
        <v>31</v>
      </c>
      <c r="AM393" s="73">
        <v>2000</v>
      </c>
      <c r="AN393" s="44"/>
      <c r="AO393" s="44"/>
      <c r="AP393" s="73">
        <v>1997</v>
      </c>
      <c r="AQ393" s="44"/>
      <c r="AR393" s="44"/>
      <c r="AS393" s="40"/>
      <c r="AT393" s="40"/>
      <c r="AU393" s="40"/>
      <c r="AV393" s="40"/>
      <c r="AW393" s="40"/>
      <c r="AX393" s="40"/>
      <c r="AY393" s="188"/>
      <c r="AZ393" s="98"/>
    </row>
    <row r="394" spans="1:52" s="19" customFormat="1" ht="25.5" x14ac:dyDescent="0.2">
      <c r="A394" s="72" t="s">
        <v>139</v>
      </c>
      <c r="B394" s="72" t="s">
        <v>198</v>
      </c>
      <c r="C394" s="40"/>
      <c r="D394" s="40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0"/>
      <c r="R394" s="40"/>
      <c r="S394" s="40"/>
      <c r="T394" s="73">
        <v>50000</v>
      </c>
      <c r="U394" s="41"/>
      <c r="V394" s="145" t="s">
        <v>82</v>
      </c>
      <c r="W394" s="42"/>
      <c r="X394" s="42">
        <v>53.9</v>
      </c>
      <c r="Y394" s="46"/>
      <c r="Z394" s="43"/>
      <c r="AA394" s="40"/>
      <c r="AB394" s="40"/>
      <c r="AC394" s="43"/>
      <c r="AD394" s="43"/>
      <c r="AE394" s="43"/>
      <c r="AF394" s="43"/>
      <c r="AG394" s="75">
        <v>44875</v>
      </c>
      <c r="AH394" s="75">
        <v>44875</v>
      </c>
      <c r="AI394" s="77">
        <v>44909</v>
      </c>
      <c r="AJ394" s="77">
        <v>44915</v>
      </c>
      <c r="AK394" s="77">
        <v>44915</v>
      </c>
      <c r="AL394" s="134" t="s">
        <v>31</v>
      </c>
      <c r="AM394" s="73">
        <v>50000</v>
      </c>
      <c r="AN394" s="44"/>
      <c r="AO394" s="44"/>
      <c r="AP394" s="73">
        <v>49510</v>
      </c>
      <c r="AQ394" s="44"/>
      <c r="AR394" s="44"/>
      <c r="AS394" s="40"/>
      <c r="AT394" s="40"/>
      <c r="AU394" s="40"/>
      <c r="AV394" s="40"/>
      <c r="AW394" s="40"/>
      <c r="AX394" s="40"/>
      <c r="AY394" s="188"/>
      <c r="AZ394" s="98"/>
    </row>
    <row r="395" spans="1:52" s="19" customFormat="1" ht="12.75" x14ac:dyDescent="0.2">
      <c r="A395" s="72" t="s">
        <v>138</v>
      </c>
      <c r="B395" s="72" t="s">
        <v>197</v>
      </c>
      <c r="C395" s="40"/>
      <c r="D395" s="40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0"/>
      <c r="R395" s="40"/>
      <c r="S395" s="40"/>
      <c r="T395" s="73">
        <v>52825</v>
      </c>
      <c r="U395" s="41"/>
      <c r="V395" s="149" t="s">
        <v>82</v>
      </c>
      <c r="W395" s="42"/>
      <c r="X395" s="42">
        <v>53.9</v>
      </c>
      <c r="Y395" s="46"/>
      <c r="Z395" s="43"/>
      <c r="AA395" s="40"/>
      <c r="AB395" s="40"/>
      <c r="AC395" s="43"/>
      <c r="AD395" s="43"/>
      <c r="AE395" s="43"/>
      <c r="AF395" s="43"/>
      <c r="AG395" s="75">
        <v>44879</v>
      </c>
      <c r="AH395" s="75">
        <v>44879</v>
      </c>
      <c r="AI395" s="77">
        <v>44909</v>
      </c>
      <c r="AJ395" s="77">
        <v>44916</v>
      </c>
      <c r="AK395" s="77">
        <v>44916</v>
      </c>
      <c r="AL395" s="134" t="s">
        <v>31</v>
      </c>
      <c r="AM395" s="73">
        <v>52825</v>
      </c>
      <c r="AN395" s="44"/>
      <c r="AO395" s="44"/>
      <c r="AP395" s="73">
        <v>52317</v>
      </c>
      <c r="AQ395" s="44"/>
      <c r="AR395" s="44"/>
      <c r="AS395" s="40"/>
      <c r="AT395" s="40"/>
      <c r="AU395" s="40"/>
      <c r="AV395" s="40"/>
      <c r="AW395" s="40"/>
      <c r="AX395" s="40"/>
      <c r="AY395" s="188"/>
      <c r="AZ395" s="98"/>
    </row>
    <row r="396" spans="1:52" s="19" customFormat="1" ht="12.75" x14ac:dyDescent="0.2">
      <c r="A396" s="72" t="s">
        <v>138</v>
      </c>
      <c r="B396" s="72" t="s">
        <v>185</v>
      </c>
      <c r="C396" s="40"/>
      <c r="D396" s="40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0"/>
      <c r="R396" s="40"/>
      <c r="S396" s="40"/>
      <c r="T396" s="73">
        <v>5000</v>
      </c>
      <c r="U396" s="41"/>
      <c r="V396" s="149" t="s">
        <v>82</v>
      </c>
      <c r="W396" s="42"/>
      <c r="X396" s="42">
        <v>53.9</v>
      </c>
      <c r="Y396" s="46"/>
      <c r="Z396" s="43"/>
      <c r="AA396" s="40"/>
      <c r="AB396" s="40"/>
      <c r="AC396" s="43"/>
      <c r="AD396" s="43"/>
      <c r="AE396" s="43"/>
      <c r="AF396" s="43"/>
      <c r="AG396" s="75">
        <v>44879</v>
      </c>
      <c r="AH396" s="75">
        <v>44879</v>
      </c>
      <c r="AI396" s="77">
        <v>44909</v>
      </c>
      <c r="AJ396" s="77">
        <v>44916</v>
      </c>
      <c r="AK396" s="77">
        <v>44916</v>
      </c>
      <c r="AL396" s="134" t="s">
        <v>31</v>
      </c>
      <c r="AM396" s="73">
        <v>5000</v>
      </c>
      <c r="AN396" s="44"/>
      <c r="AO396" s="44"/>
      <c r="AP396" s="73">
        <v>4849</v>
      </c>
      <c r="AQ396" s="44"/>
      <c r="AR396" s="44"/>
      <c r="AS396" s="40"/>
      <c r="AT396" s="40"/>
      <c r="AU396" s="40"/>
      <c r="AV396" s="40"/>
      <c r="AW396" s="40"/>
      <c r="AX396" s="40"/>
      <c r="AY396" s="188"/>
      <c r="AZ396" s="98"/>
    </row>
    <row r="397" spans="1:52" s="19" customFormat="1" ht="12.75" x14ac:dyDescent="0.2">
      <c r="A397" s="72" t="s">
        <v>143</v>
      </c>
      <c r="B397" s="72" t="s">
        <v>185</v>
      </c>
      <c r="C397" s="40"/>
      <c r="D397" s="40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0"/>
      <c r="R397" s="40"/>
      <c r="S397" s="40"/>
      <c r="T397" s="73">
        <v>40775</v>
      </c>
      <c r="U397" s="41"/>
      <c r="V397" s="145" t="s">
        <v>88</v>
      </c>
      <c r="W397" s="42"/>
      <c r="X397" s="42">
        <v>53.9</v>
      </c>
      <c r="Y397" s="46"/>
      <c r="Z397" s="43"/>
      <c r="AA397" s="40"/>
      <c r="AB397" s="40"/>
      <c r="AC397" s="43"/>
      <c r="AD397" s="43"/>
      <c r="AE397" s="43"/>
      <c r="AF397" s="43"/>
      <c r="AG397" s="75">
        <v>44879</v>
      </c>
      <c r="AH397" s="75">
        <v>44879</v>
      </c>
      <c r="AI397" s="78"/>
      <c r="AJ397" s="78"/>
      <c r="AK397" s="78"/>
      <c r="AL397" s="134" t="s">
        <v>31</v>
      </c>
      <c r="AM397" s="73">
        <v>40775</v>
      </c>
      <c r="AN397" s="44"/>
      <c r="AO397" s="44"/>
      <c r="AP397" s="73">
        <v>40330</v>
      </c>
      <c r="AQ397" s="44"/>
      <c r="AR397" s="44"/>
      <c r="AS397" s="40"/>
      <c r="AT397" s="40"/>
      <c r="AU397" s="40"/>
      <c r="AV397" s="40"/>
      <c r="AW397" s="40"/>
      <c r="AX397" s="40"/>
      <c r="AY397" s="188"/>
      <c r="AZ397" s="98"/>
    </row>
    <row r="398" spans="1:52" s="19" customFormat="1" ht="12.75" x14ac:dyDescent="0.2">
      <c r="A398" s="72" t="s">
        <v>136</v>
      </c>
      <c r="B398" s="72" t="s">
        <v>189</v>
      </c>
      <c r="C398" s="40"/>
      <c r="D398" s="40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0"/>
      <c r="R398" s="40"/>
      <c r="S398" s="40"/>
      <c r="T398" s="73">
        <v>61100</v>
      </c>
      <c r="U398" s="41"/>
      <c r="V398" s="145" t="s">
        <v>88</v>
      </c>
      <c r="W398" s="42"/>
      <c r="X398" s="42">
        <v>53.9</v>
      </c>
      <c r="Y398" s="46"/>
      <c r="Z398" s="43"/>
      <c r="AA398" s="40"/>
      <c r="AB398" s="40"/>
      <c r="AC398" s="43"/>
      <c r="AD398" s="43"/>
      <c r="AE398" s="43"/>
      <c r="AF398" s="43"/>
      <c r="AG398" s="75">
        <v>44879</v>
      </c>
      <c r="AH398" s="75">
        <v>44879</v>
      </c>
      <c r="AI398" s="78"/>
      <c r="AJ398" s="78"/>
      <c r="AK398" s="78"/>
      <c r="AL398" s="134" t="s">
        <v>31</v>
      </c>
      <c r="AM398" s="73">
        <v>61100</v>
      </c>
      <c r="AN398" s="44"/>
      <c r="AO398" s="44"/>
      <c r="AP398" s="73">
        <v>60745</v>
      </c>
      <c r="AQ398" s="44"/>
      <c r="AR398" s="44"/>
      <c r="AS398" s="40"/>
      <c r="AT398" s="40"/>
      <c r="AU398" s="40"/>
      <c r="AV398" s="40"/>
      <c r="AW398" s="40"/>
      <c r="AX398" s="40"/>
      <c r="AY398" s="188"/>
      <c r="AZ398" s="98"/>
    </row>
    <row r="399" spans="1:52" s="19" customFormat="1" ht="25.5" x14ac:dyDescent="0.2">
      <c r="A399" s="72" t="s">
        <v>139</v>
      </c>
      <c r="B399" s="72" t="s">
        <v>198</v>
      </c>
      <c r="C399" s="40"/>
      <c r="D399" s="40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0"/>
      <c r="R399" s="40"/>
      <c r="S399" s="40"/>
      <c r="T399" s="73">
        <v>101600</v>
      </c>
      <c r="U399" s="41"/>
      <c r="V399" s="145" t="s">
        <v>88</v>
      </c>
      <c r="W399" s="42"/>
      <c r="X399" s="42">
        <v>53.9</v>
      </c>
      <c r="Y399" s="46"/>
      <c r="Z399" s="43"/>
      <c r="AA399" s="40"/>
      <c r="AB399" s="40"/>
      <c r="AC399" s="43"/>
      <c r="AD399" s="43"/>
      <c r="AE399" s="43"/>
      <c r="AF399" s="43"/>
      <c r="AG399" s="75">
        <v>44879</v>
      </c>
      <c r="AH399" s="75">
        <v>44879</v>
      </c>
      <c r="AI399" s="78"/>
      <c r="AJ399" s="78"/>
      <c r="AK399" s="78"/>
      <c r="AL399" s="134" t="s">
        <v>31</v>
      </c>
      <c r="AM399" s="73">
        <v>101600</v>
      </c>
      <c r="AN399" s="44"/>
      <c r="AO399" s="44"/>
      <c r="AP399" s="73">
        <v>100895</v>
      </c>
      <c r="AQ399" s="44"/>
      <c r="AR399" s="44"/>
      <c r="AS399" s="40"/>
      <c r="AT399" s="40"/>
      <c r="AU399" s="40"/>
      <c r="AV399" s="40"/>
      <c r="AW399" s="40"/>
      <c r="AX399" s="40"/>
      <c r="AY399" s="188"/>
      <c r="AZ399" s="98"/>
    </row>
    <row r="400" spans="1:52" s="19" customFormat="1" ht="12.75" x14ac:dyDescent="0.2">
      <c r="A400" s="72" t="s">
        <v>137</v>
      </c>
      <c r="B400" s="72" t="s">
        <v>209</v>
      </c>
      <c r="C400" s="40"/>
      <c r="D400" s="40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0"/>
      <c r="R400" s="40"/>
      <c r="S400" s="40"/>
      <c r="T400" s="73">
        <v>40000</v>
      </c>
      <c r="U400" s="41"/>
      <c r="V400" s="145" t="s">
        <v>103</v>
      </c>
      <c r="W400" s="42"/>
      <c r="X400" s="42">
        <v>53.9</v>
      </c>
      <c r="Y400" s="46"/>
      <c r="Z400" s="43"/>
      <c r="AA400" s="40"/>
      <c r="AB400" s="40"/>
      <c r="AC400" s="43"/>
      <c r="AD400" s="43"/>
      <c r="AE400" s="43"/>
      <c r="AF400" s="43"/>
      <c r="AG400" s="75">
        <v>44881</v>
      </c>
      <c r="AH400" s="75">
        <v>44881</v>
      </c>
      <c r="AI400" s="78"/>
      <c r="AJ400" s="78"/>
      <c r="AK400" s="78"/>
      <c r="AL400" s="134" t="s">
        <v>31</v>
      </c>
      <c r="AM400" s="73">
        <v>40000</v>
      </c>
      <c r="AN400" s="44"/>
      <c r="AO400" s="44"/>
      <c r="AP400" s="73">
        <v>39300</v>
      </c>
      <c r="AQ400" s="44"/>
      <c r="AR400" s="44"/>
      <c r="AS400" s="40"/>
      <c r="AT400" s="40"/>
      <c r="AU400" s="40"/>
      <c r="AV400" s="40"/>
      <c r="AW400" s="40"/>
      <c r="AX400" s="40"/>
      <c r="AY400" s="188"/>
      <c r="AZ400" s="98"/>
    </row>
    <row r="401" spans="1:52" s="19" customFormat="1" ht="12.75" x14ac:dyDescent="0.2">
      <c r="A401" s="72" t="s">
        <v>137</v>
      </c>
      <c r="B401" s="72" t="s">
        <v>209</v>
      </c>
      <c r="C401" s="40"/>
      <c r="D401" s="40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0"/>
      <c r="R401" s="40"/>
      <c r="S401" s="40"/>
      <c r="T401" s="73">
        <v>15000</v>
      </c>
      <c r="U401" s="41"/>
      <c r="V401" s="145" t="s">
        <v>96</v>
      </c>
      <c r="W401" s="42"/>
      <c r="X401" s="42">
        <v>53.9</v>
      </c>
      <c r="Y401" s="46"/>
      <c r="Z401" s="43"/>
      <c r="AA401" s="40"/>
      <c r="AB401" s="40"/>
      <c r="AC401" s="43"/>
      <c r="AD401" s="43"/>
      <c r="AE401" s="43"/>
      <c r="AF401" s="43"/>
      <c r="AG401" s="75">
        <v>44883</v>
      </c>
      <c r="AH401" s="75">
        <v>44883</v>
      </c>
      <c r="AI401" s="78"/>
      <c r="AJ401" s="78"/>
      <c r="AK401" s="78"/>
      <c r="AL401" s="134" t="s">
        <v>31</v>
      </c>
      <c r="AM401" s="73">
        <v>15000</v>
      </c>
      <c r="AN401" s="44"/>
      <c r="AO401" s="44"/>
      <c r="AP401" s="73">
        <v>14525</v>
      </c>
      <c r="AQ401" s="44"/>
      <c r="AR401" s="44"/>
      <c r="AS401" s="40"/>
      <c r="AT401" s="40"/>
      <c r="AU401" s="40"/>
      <c r="AV401" s="40"/>
      <c r="AW401" s="40"/>
      <c r="AX401" s="40"/>
      <c r="AY401" s="188"/>
      <c r="AZ401" s="98"/>
    </row>
    <row r="402" spans="1:52" s="19" customFormat="1" ht="25.5" x14ac:dyDescent="0.2">
      <c r="A402" s="72" t="s">
        <v>139</v>
      </c>
      <c r="B402" s="72" t="s">
        <v>198</v>
      </c>
      <c r="C402" s="40"/>
      <c r="D402" s="40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0"/>
      <c r="R402" s="40"/>
      <c r="S402" s="40"/>
      <c r="T402" s="73">
        <v>101750</v>
      </c>
      <c r="U402" s="41"/>
      <c r="V402" s="145" t="s">
        <v>98</v>
      </c>
      <c r="W402" s="42"/>
      <c r="X402" s="42">
        <v>53.9</v>
      </c>
      <c r="Y402" s="46"/>
      <c r="Z402" s="43"/>
      <c r="AA402" s="40"/>
      <c r="AB402" s="40"/>
      <c r="AC402" s="43"/>
      <c r="AD402" s="43"/>
      <c r="AE402" s="43"/>
      <c r="AF402" s="43"/>
      <c r="AG402" s="75">
        <v>44886</v>
      </c>
      <c r="AH402" s="75">
        <v>44886</v>
      </c>
      <c r="AI402" s="78"/>
      <c r="AJ402" s="78"/>
      <c r="AK402" s="78"/>
      <c r="AL402" s="134" t="s">
        <v>31</v>
      </c>
      <c r="AM402" s="73">
        <v>101750</v>
      </c>
      <c r="AN402" s="44"/>
      <c r="AO402" s="44"/>
      <c r="AP402" s="73">
        <v>101335</v>
      </c>
      <c r="AQ402" s="44"/>
      <c r="AR402" s="44"/>
      <c r="AS402" s="40"/>
      <c r="AT402" s="40"/>
      <c r="AU402" s="40"/>
      <c r="AV402" s="40"/>
      <c r="AW402" s="40"/>
      <c r="AX402" s="40"/>
      <c r="AY402" s="188"/>
      <c r="AZ402" s="98"/>
    </row>
    <row r="403" spans="1:52" s="19" customFormat="1" ht="12.75" x14ac:dyDescent="0.2">
      <c r="A403" s="72" t="s">
        <v>138</v>
      </c>
      <c r="B403" s="72" t="s">
        <v>197</v>
      </c>
      <c r="C403" s="40"/>
      <c r="D403" s="40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0"/>
      <c r="R403" s="40"/>
      <c r="S403" s="40"/>
      <c r="T403" s="73">
        <v>85500</v>
      </c>
      <c r="U403" s="41"/>
      <c r="V403" s="145" t="s">
        <v>98</v>
      </c>
      <c r="W403" s="42"/>
      <c r="X403" s="42">
        <v>53.9</v>
      </c>
      <c r="Y403" s="46"/>
      <c r="Z403" s="43"/>
      <c r="AA403" s="40"/>
      <c r="AB403" s="40"/>
      <c r="AC403" s="43"/>
      <c r="AD403" s="43"/>
      <c r="AE403" s="43"/>
      <c r="AF403" s="43"/>
      <c r="AG403" s="75">
        <v>44886</v>
      </c>
      <c r="AH403" s="75">
        <v>44886</v>
      </c>
      <c r="AI403" s="77">
        <v>44909</v>
      </c>
      <c r="AJ403" s="77">
        <v>44915</v>
      </c>
      <c r="AK403" s="77">
        <v>44915</v>
      </c>
      <c r="AL403" s="134" t="s">
        <v>31</v>
      </c>
      <c r="AM403" s="73">
        <v>85500</v>
      </c>
      <c r="AN403" s="44"/>
      <c r="AO403" s="44"/>
      <c r="AP403" s="73">
        <v>85266</v>
      </c>
      <c r="AQ403" s="44"/>
      <c r="AR403" s="44"/>
      <c r="AS403" s="40"/>
      <c r="AT403" s="40"/>
      <c r="AU403" s="40"/>
      <c r="AV403" s="40"/>
      <c r="AW403" s="40"/>
      <c r="AX403" s="40"/>
      <c r="AY403" s="188"/>
      <c r="AZ403" s="98"/>
    </row>
    <row r="404" spans="1:52" s="19" customFormat="1" ht="12.75" x14ac:dyDescent="0.2">
      <c r="A404" s="72" t="s">
        <v>143</v>
      </c>
      <c r="B404" s="72" t="s">
        <v>185</v>
      </c>
      <c r="C404" s="40"/>
      <c r="D404" s="40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0"/>
      <c r="R404" s="40"/>
      <c r="S404" s="40"/>
      <c r="T404" s="73">
        <v>5000</v>
      </c>
      <c r="U404" s="41"/>
      <c r="V404" s="145" t="s">
        <v>98</v>
      </c>
      <c r="W404" s="42"/>
      <c r="X404" s="42">
        <v>53.9</v>
      </c>
      <c r="Y404" s="46"/>
      <c r="Z404" s="43"/>
      <c r="AA404" s="40"/>
      <c r="AB404" s="40"/>
      <c r="AC404" s="43"/>
      <c r="AD404" s="43"/>
      <c r="AE404" s="43"/>
      <c r="AF404" s="43"/>
      <c r="AG404" s="75">
        <v>44886</v>
      </c>
      <c r="AH404" s="75">
        <v>44886</v>
      </c>
      <c r="AI404" s="77">
        <v>44909</v>
      </c>
      <c r="AJ404" s="77">
        <v>44915</v>
      </c>
      <c r="AK404" s="77">
        <v>44915</v>
      </c>
      <c r="AL404" s="134" t="s">
        <v>31</v>
      </c>
      <c r="AM404" s="73">
        <v>5000</v>
      </c>
      <c r="AN404" s="44"/>
      <c r="AO404" s="44"/>
      <c r="AP404" s="73">
        <v>4983.5</v>
      </c>
      <c r="AQ404" s="44"/>
      <c r="AR404" s="44"/>
      <c r="AS404" s="40"/>
      <c r="AT404" s="40"/>
      <c r="AU404" s="40"/>
      <c r="AV404" s="40"/>
      <c r="AW404" s="40"/>
      <c r="AX404" s="40"/>
      <c r="AY404" s="188"/>
      <c r="AZ404" s="98"/>
    </row>
    <row r="405" spans="1:52" s="19" customFormat="1" ht="12.75" x14ac:dyDescent="0.2">
      <c r="A405" s="72" t="s">
        <v>150</v>
      </c>
      <c r="B405" s="72" t="s">
        <v>188</v>
      </c>
      <c r="C405" s="40"/>
      <c r="D405" s="40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0"/>
      <c r="R405" s="40"/>
      <c r="S405" s="40"/>
      <c r="T405" s="73">
        <v>12000</v>
      </c>
      <c r="U405" s="41"/>
      <c r="V405" s="145" t="s">
        <v>98</v>
      </c>
      <c r="W405" s="42"/>
      <c r="X405" s="42">
        <v>53.9</v>
      </c>
      <c r="Y405" s="46"/>
      <c r="Z405" s="43"/>
      <c r="AA405" s="40"/>
      <c r="AB405" s="40"/>
      <c r="AC405" s="43"/>
      <c r="AD405" s="43"/>
      <c r="AE405" s="43"/>
      <c r="AF405" s="43"/>
      <c r="AG405" s="75">
        <v>44886</v>
      </c>
      <c r="AH405" s="75">
        <v>44886</v>
      </c>
      <c r="AI405" s="77">
        <v>44909</v>
      </c>
      <c r="AJ405" s="77">
        <v>44915</v>
      </c>
      <c r="AK405" s="77">
        <v>44915</v>
      </c>
      <c r="AL405" s="134" t="s">
        <v>31</v>
      </c>
      <c r="AM405" s="73">
        <v>12000</v>
      </c>
      <c r="AN405" s="44"/>
      <c r="AO405" s="44"/>
      <c r="AP405" s="73">
        <v>11976</v>
      </c>
      <c r="AQ405" s="44"/>
      <c r="AR405" s="44"/>
      <c r="AS405" s="40"/>
      <c r="AT405" s="40"/>
      <c r="AU405" s="40"/>
      <c r="AV405" s="40"/>
      <c r="AW405" s="40"/>
      <c r="AX405" s="40"/>
      <c r="AY405" s="188"/>
      <c r="AZ405" s="98"/>
    </row>
    <row r="406" spans="1:52" s="19" customFormat="1" ht="12.75" x14ac:dyDescent="0.2">
      <c r="A406" s="72" t="s">
        <v>136</v>
      </c>
      <c r="B406" s="72" t="s">
        <v>189</v>
      </c>
      <c r="C406" s="40"/>
      <c r="D406" s="40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0"/>
      <c r="R406" s="40"/>
      <c r="S406" s="40"/>
      <c r="T406" s="73">
        <v>6000</v>
      </c>
      <c r="U406" s="41"/>
      <c r="V406" s="145" t="s">
        <v>98</v>
      </c>
      <c r="W406" s="42"/>
      <c r="X406" s="42">
        <v>53.9</v>
      </c>
      <c r="Y406" s="46"/>
      <c r="Z406" s="43"/>
      <c r="AA406" s="40"/>
      <c r="AB406" s="40"/>
      <c r="AC406" s="43"/>
      <c r="AD406" s="43"/>
      <c r="AE406" s="43"/>
      <c r="AF406" s="43"/>
      <c r="AG406" s="75">
        <v>44886</v>
      </c>
      <c r="AH406" s="75">
        <v>44886</v>
      </c>
      <c r="AI406" s="77">
        <v>44909</v>
      </c>
      <c r="AJ406" s="77">
        <v>44915</v>
      </c>
      <c r="AK406" s="77">
        <v>44915</v>
      </c>
      <c r="AL406" s="134" t="s">
        <v>31</v>
      </c>
      <c r="AM406" s="73">
        <v>6000</v>
      </c>
      <c r="AN406" s="44"/>
      <c r="AO406" s="44"/>
      <c r="AP406" s="73">
        <v>5988</v>
      </c>
      <c r="AQ406" s="44"/>
      <c r="AR406" s="44"/>
      <c r="AS406" s="40"/>
      <c r="AT406" s="40"/>
      <c r="AU406" s="40"/>
      <c r="AV406" s="40"/>
      <c r="AW406" s="40"/>
      <c r="AX406" s="40"/>
      <c r="AY406" s="188"/>
      <c r="AZ406" s="98"/>
    </row>
    <row r="407" spans="1:52" s="19" customFormat="1" ht="12.75" x14ac:dyDescent="0.2">
      <c r="A407" s="72" t="s">
        <v>137</v>
      </c>
      <c r="B407" s="72" t="s">
        <v>209</v>
      </c>
      <c r="C407" s="40"/>
      <c r="D407" s="40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0"/>
      <c r="R407" s="40"/>
      <c r="S407" s="40"/>
      <c r="T407" s="73">
        <v>15000</v>
      </c>
      <c r="U407" s="41"/>
      <c r="V407" s="147" t="s">
        <v>85</v>
      </c>
      <c r="W407" s="42"/>
      <c r="X407" s="42">
        <v>53.9</v>
      </c>
      <c r="Y407" s="46"/>
      <c r="Z407" s="43"/>
      <c r="AA407" s="40"/>
      <c r="AB407" s="40"/>
      <c r="AC407" s="43"/>
      <c r="AD407" s="43"/>
      <c r="AE407" s="43"/>
      <c r="AF407" s="43"/>
      <c r="AG407" s="75">
        <v>44886</v>
      </c>
      <c r="AH407" s="75">
        <v>44886</v>
      </c>
      <c r="AI407" s="78"/>
      <c r="AJ407" s="78"/>
      <c r="AK407" s="78"/>
      <c r="AL407" s="134" t="s">
        <v>31</v>
      </c>
      <c r="AM407" s="73">
        <v>15000</v>
      </c>
      <c r="AN407" s="44"/>
      <c r="AO407" s="44"/>
      <c r="AP407" s="73">
        <v>14485</v>
      </c>
      <c r="AQ407" s="44"/>
      <c r="AR407" s="44"/>
      <c r="AS407" s="40"/>
      <c r="AT407" s="40"/>
      <c r="AU407" s="40"/>
      <c r="AV407" s="40"/>
      <c r="AW407" s="40"/>
      <c r="AX407" s="40"/>
      <c r="AY407" s="188"/>
      <c r="AZ407" s="98"/>
    </row>
    <row r="408" spans="1:52" s="19" customFormat="1" ht="12.75" x14ac:dyDescent="0.2">
      <c r="A408" s="72" t="s">
        <v>137</v>
      </c>
      <c r="B408" s="72" t="s">
        <v>209</v>
      </c>
      <c r="C408" s="40"/>
      <c r="D408" s="40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0"/>
      <c r="R408" s="40"/>
      <c r="S408" s="40"/>
      <c r="T408" s="73">
        <v>50000</v>
      </c>
      <c r="U408" s="41"/>
      <c r="V408" s="149" t="s">
        <v>93</v>
      </c>
      <c r="W408" s="42"/>
      <c r="X408" s="42">
        <v>53.9</v>
      </c>
      <c r="Y408" s="46"/>
      <c r="Z408" s="43"/>
      <c r="AA408" s="40"/>
      <c r="AB408" s="40"/>
      <c r="AC408" s="43"/>
      <c r="AD408" s="43"/>
      <c r="AE408" s="43"/>
      <c r="AF408" s="43"/>
      <c r="AG408" s="75">
        <v>44886</v>
      </c>
      <c r="AH408" s="75">
        <v>44886</v>
      </c>
      <c r="AI408" s="78"/>
      <c r="AJ408" s="78"/>
      <c r="AK408" s="78"/>
      <c r="AL408" s="134" t="s">
        <v>31</v>
      </c>
      <c r="AM408" s="73">
        <v>50000</v>
      </c>
      <c r="AN408" s="44"/>
      <c r="AO408" s="44"/>
      <c r="AP408" s="73">
        <v>48725</v>
      </c>
      <c r="AQ408" s="44"/>
      <c r="AR408" s="44"/>
      <c r="AS408" s="40"/>
      <c r="AT408" s="40"/>
      <c r="AU408" s="40"/>
      <c r="AV408" s="40"/>
      <c r="AW408" s="40"/>
      <c r="AX408" s="40"/>
      <c r="AY408" s="188"/>
      <c r="AZ408" s="98"/>
    </row>
    <row r="409" spans="1:52" s="19" customFormat="1" ht="12.75" x14ac:dyDescent="0.2">
      <c r="A409" s="72" t="s">
        <v>136</v>
      </c>
      <c r="B409" s="72" t="s">
        <v>189</v>
      </c>
      <c r="C409" s="40"/>
      <c r="D409" s="40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0"/>
      <c r="R409" s="40"/>
      <c r="S409" s="40"/>
      <c r="T409" s="73">
        <v>37500</v>
      </c>
      <c r="U409" s="41"/>
      <c r="V409" s="149" t="s">
        <v>93</v>
      </c>
      <c r="W409" s="42"/>
      <c r="X409" s="42">
        <v>53.9</v>
      </c>
      <c r="Y409" s="46"/>
      <c r="Z409" s="43"/>
      <c r="AA409" s="40"/>
      <c r="AB409" s="40"/>
      <c r="AC409" s="43"/>
      <c r="AD409" s="43"/>
      <c r="AE409" s="43"/>
      <c r="AF409" s="43"/>
      <c r="AG409" s="75">
        <v>44886</v>
      </c>
      <c r="AH409" s="75">
        <v>44886</v>
      </c>
      <c r="AI409" s="78"/>
      <c r="AJ409" s="78"/>
      <c r="AK409" s="78"/>
      <c r="AL409" s="134" t="s">
        <v>31</v>
      </c>
      <c r="AM409" s="73">
        <v>37500</v>
      </c>
      <c r="AN409" s="44"/>
      <c r="AO409" s="44"/>
      <c r="AP409" s="73">
        <v>37450</v>
      </c>
      <c r="AQ409" s="44"/>
      <c r="AR409" s="44"/>
      <c r="AS409" s="40"/>
      <c r="AT409" s="40"/>
      <c r="AU409" s="40"/>
      <c r="AV409" s="40"/>
      <c r="AW409" s="40"/>
      <c r="AX409" s="40"/>
      <c r="AY409" s="188"/>
      <c r="AZ409" s="98"/>
    </row>
    <row r="410" spans="1:52" s="19" customFormat="1" ht="12.75" x14ac:dyDescent="0.2">
      <c r="A410" s="72" t="s">
        <v>138</v>
      </c>
      <c r="B410" s="72" t="s">
        <v>197</v>
      </c>
      <c r="C410" s="40"/>
      <c r="D410" s="40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0"/>
      <c r="R410" s="40"/>
      <c r="S410" s="40"/>
      <c r="T410" s="73">
        <v>50000</v>
      </c>
      <c r="U410" s="41"/>
      <c r="V410" s="145" t="s">
        <v>93</v>
      </c>
      <c r="W410" s="42"/>
      <c r="X410" s="42">
        <v>53.9</v>
      </c>
      <c r="Y410" s="46"/>
      <c r="Z410" s="43"/>
      <c r="AA410" s="40"/>
      <c r="AB410" s="40"/>
      <c r="AC410" s="43"/>
      <c r="AD410" s="43"/>
      <c r="AE410" s="43"/>
      <c r="AF410" s="43"/>
      <c r="AG410" s="75">
        <v>44886</v>
      </c>
      <c r="AH410" s="75">
        <v>44886</v>
      </c>
      <c r="AI410" s="78"/>
      <c r="AJ410" s="78"/>
      <c r="AK410" s="78"/>
      <c r="AL410" s="134" t="s">
        <v>31</v>
      </c>
      <c r="AM410" s="73">
        <v>50000</v>
      </c>
      <c r="AN410" s="44"/>
      <c r="AO410" s="44"/>
      <c r="AP410" s="73">
        <v>49558</v>
      </c>
      <c r="AQ410" s="44"/>
      <c r="AR410" s="44"/>
      <c r="AS410" s="40"/>
      <c r="AT410" s="40"/>
      <c r="AU410" s="40"/>
      <c r="AV410" s="40"/>
      <c r="AW410" s="40"/>
      <c r="AX410" s="40"/>
      <c r="AY410" s="188"/>
      <c r="AZ410" s="98"/>
    </row>
    <row r="411" spans="1:52" s="19" customFormat="1" ht="12.75" x14ac:dyDescent="0.2">
      <c r="A411" s="72" t="s">
        <v>145</v>
      </c>
      <c r="B411" s="72" t="s">
        <v>201</v>
      </c>
      <c r="C411" s="40"/>
      <c r="D411" s="40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0"/>
      <c r="R411" s="40"/>
      <c r="S411" s="40"/>
      <c r="T411" s="73">
        <v>35000</v>
      </c>
      <c r="U411" s="41"/>
      <c r="V411" s="145" t="s">
        <v>88</v>
      </c>
      <c r="W411" s="42"/>
      <c r="X411" s="42">
        <v>53.9</v>
      </c>
      <c r="Y411" s="46"/>
      <c r="Z411" s="43"/>
      <c r="AA411" s="40"/>
      <c r="AB411" s="40"/>
      <c r="AC411" s="43"/>
      <c r="AD411" s="43"/>
      <c r="AE411" s="43"/>
      <c r="AF411" s="43"/>
      <c r="AG411" s="75">
        <v>44889</v>
      </c>
      <c r="AH411" s="75">
        <v>44889</v>
      </c>
      <c r="AI411" s="78"/>
      <c r="AJ411" s="77"/>
      <c r="AK411" s="77"/>
      <c r="AL411" s="134" t="s">
        <v>31</v>
      </c>
      <c r="AM411" s="73">
        <v>35000</v>
      </c>
      <c r="AN411" s="44"/>
      <c r="AO411" s="44"/>
      <c r="AP411" s="73">
        <v>34640</v>
      </c>
      <c r="AQ411" s="44"/>
      <c r="AR411" s="44"/>
      <c r="AS411" s="40"/>
      <c r="AT411" s="40"/>
      <c r="AU411" s="40"/>
      <c r="AV411" s="40"/>
      <c r="AW411" s="40"/>
      <c r="AX411" s="40"/>
      <c r="AY411" s="188"/>
      <c r="AZ411" s="98"/>
    </row>
    <row r="412" spans="1:52" s="19" customFormat="1" ht="25.5" x14ac:dyDescent="0.2">
      <c r="A412" s="72" t="s">
        <v>139</v>
      </c>
      <c r="B412" s="72" t="s">
        <v>198</v>
      </c>
      <c r="C412" s="40"/>
      <c r="D412" s="40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0"/>
      <c r="R412" s="40"/>
      <c r="S412" s="40"/>
      <c r="T412" s="73">
        <v>17480</v>
      </c>
      <c r="U412" s="41"/>
      <c r="V412" s="145" t="s">
        <v>83</v>
      </c>
      <c r="W412" s="42"/>
      <c r="X412" s="42">
        <v>53.9</v>
      </c>
      <c r="Y412" s="46"/>
      <c r="Z412" s="43"/>
      <c r="AA412" s="40"/>
      <c r="AB412" s="40"/>
      <c r="AC412" s="43"/>
      <c r="AD412" s="43"/>
      <c r="AE412" s="43"/>
      <c r="AF412" s="43"/>
      <c r="AG412" s="75">
        <v>44889</v>
      </c>
      <c r="AH412" s="75">
        <v>44889</v>
      </c>
      <c r="AI412" s="78"/>
      <c r="AJ412" s="156"/>
      <c r="AK412" s="156"/>
      <c r="AL412" s="134" t="s">
        <v>31</v>
      </c>
      <c r="AM412" s="73">
        <v>17480</v>
      </c>
      <c r="AN412" s="44"/>
      <c r="AO412" s="44"/>
      <c r="AP412" s="73">
        <v>17243</v>
      </c>
      <c r="AQ412" s="44"/>
      <c r="AR412" s="44"/>
      <c r="AS412" s="40"/>
      <c r="AT412" s="40"/>
      <c r="AU412" s="40"/>
      <c r="AV412" s="40"/>
      <c r="AW412" s="40"/>
      <c r="AX412" s="40"/>
      <c r="AY412" s="188"/>
      <c r="AZ412" s="98"/>
    </row>
    <row r="413" spans="1:52" s="19" customFormat="1" ht="12.75" x14ac:dyDescent="0.2">
      <c r="A413" s="72" t="s">
        <v>137</v>
      </c>
      <c r="B413" s="72" t="s">
        <v>209</v>
      </c>
      <c r="C413" s="40"/>
      <c r="D413" s="40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0"/>
      <c r="R413" s="40"/>
      <c r="S413" s="40"/>
      <c r="T413" s="73">
        <v>30000</v>
      </c>
      <c r="U413" s="41"/>
      <c r="V413" s="145" t="s">
        <v>83</v>
      </c>
      <c r="W413" s="42"/>
      <c r="X413" s="42">
        <v>53.9</v>
      </c>
      <c r="Y413" s="46"/>
      <c r="Z413" s="43"/>
      <c r="AA413" s="40"/>
      <c r="AB413" s="40"/>
      <c r="AC413" s="43"/>
      <c r="AD413" s="43"/>
      <c r="AE413" s="43"/>
      <c r="AF413" s="43"/>
      <c r="AG413" s="75">
        <v>44889</v>
      </c>
      <c r="AH413" s="75">
        <v>44889</v>
      </c>
      <c r="AI413" s="78"/>
      <c r="AJ413" s="156"/>
      <c r="AK413" s="156"/>
      <c r="AL413" s="134" t="s">
        <v>31</v>
      </c>
      <c r="AM413" s="73">
        <v>30000</v>
      </c>
      <c r="AN413" s="44"/>
      <c r="AO413" s="44"/>
      <c r="AP413" s="73">
        <v>29520</v>
      </c>
      <c r="AQ413" s="44"/>
      <c r="AR413" s="44"/>
      <c r="AS413" s="40"/>
      <c r="AT413" s="40"/>
      <c r="AU413" s="40"/>
      <c r="AV413" s="40"/>
      <c r="AW413" s="40"/>
      <c r="AX413" s="40"/>
      <c r="AY413" s="188"/>
      <c r="AZ413" s="98"/>
    </row>
    <row r="414" spans="1:52" s="19" customFormat="1" ht="12.75" x14ac:dyDescent="0.2">
      <c r="A414" s="72" t="s">
        <v>142</v>
      </c>
      <c r="B414" s="72" t="s">
        <v>116</v>
      </c>
      <c r="C414" s="40"/>
      <c r="D414" s="40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0"/>
      <c r="R414" s="40"/>
      <c r="S414" s="40"/>
      <c r="T414" s="73">
        <v>16200</v>
      </c>
      <c r="U414" s="41"/>
      <c r="V414" s="145" t="s">
        <v>105</v>
      </c>
      <c r="W414" s="42"/>
      <c r="X414" s="42">
        <v>53.9</v>
      </c>
      <c r="Y414" s="46"/>
      <c r="Z414" s="43"/>
      <c r="AA414" s="40"/>
      <c r="AB414" s="40"/>
      <c r="AC414" s="43"/>
      <c r="AD414" s="43"/>
      <c r="AE414" s="43"/>
      <c r="AF414" s="43"/>
      <c r="AG414" s="75">
        <v>44889</v>
      </c>
      <c r="AH414" s="75">
        <v>44889</v>
      </c>
      <c r="AI414" s="77">
        <v>44914</v>
      </c>
      <c r="AJ414" s="148">
        <v>44918</v>
      </c>
      <c r="AK414" s="148">
        <v>44918</v>
      </c>
      <c r="AL414" s="134" t="s">
        <v>31</v>
      </c>
      <c r="AM414" s="73">
        <v>16200</v>
      </c>
      <c r="AN414" s="44"/>
      <c r="AO414" s="44"/>
      <c r="AP414" s="73">
        <v>16162</v>
      </c>
      <c r="AQ414" s="44"/>
      <c r="AR414" s="44"/>
      <c r="AS414" s="40"/>
      <c r="AT414" s="40"/>
      <c r="AU414" s="40"/>
      <c r="AV414" s="40"/>
      <c r="AW414" s="40"/>
      <c r="AX414" s="40"/>
      <c r="AY414" s="188"/>
      <c r="AZ414" s="98"/>
    </row>
    <row r="415" spans="1:52" s="19" customFormat="1" ht="12.75" x14ac:dyDescent="0.2">
      <c r="A415" s="72" t="s">
        <v>152</v>
      </c>
      <c r="B415" s="72" t="s">
        <v>124</v>
      </c>
      <c r="C415" s="40"/>
      <c r="D415" s="40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0"/>
      <c r="R415" s="40"/>
      <c r="S415" s="40"/>
      <c r="T415" s="73">
        <v>15000</v>
      </c>
      <c r="U415" s="41"/>
      <c r="V415" s="147" t="s">
        <v>107</v>
      </c>
      <c r="W415" s="42"/>
      <c r="X415" s="42">
        <v>53.9</v>
      </c>
      <c r="Y415" s="46"/>
      <c r="Z415" s="43"/>
      <c r="AA415" s="40"/>
      <c r="AB415" s="40"/>
      <c r="AC415" s="43"/>
      <c r="AD415" s="43"/>
      <c r="AE415" s="43"/>
      <c r="AF415" s="43"/>
      <c r="AG415" s="75">
        <v>44890</v>
      </c>
      <c r="AH415" s="75">
        <v>44890</v>
      </c>
      <c r="AI415" s="78"/>
      <c r="AJ415" s="156"/>
      <c r="AK415" s="156"/>
      <c r="AL415" s="134" t="s">
        <v>31</v>
      </c>
      <c r="AM415" s="73">
        <v>15000</v>
      </c>
      <c r="AN415" s="44"/>
      <c r="AO415" s="44"/>
      <c r="AP415" s="73">
        <v>13850</v>
      </c>
      <c r="AQ415" s="44"/>
      <c r="AR415" s="44"/>
      <c r="AS415" s="40"/>
      <c r="AT415" s="40"/>
      <c r="AU415" s="40"/>
      <c r="AV415" s="40"/>
      <c r="AW415" s="40"/>
      <c r="AX415" s="40"/>
      <c r="AY415" s="188"/>
      <c r="AZ415" s="98"/>
    </row>
    <row r="416" spans="1:52" s="19" customFormat="1" ht="12.75" x14ac:dyDescent="0.2">
      <c r="A416" s="72" t="s">
        <v>135</v>
      </c>
      <c r="B416" s="72" t="s">
        <v>228</v>
      </c>
      <c r="C416" s="40"/>
      <c r="D416" s="40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0"/>
      <c r="R416" s="40"/>
      <c r="S416" s="40"/>
      <c r="T416" s="73">
        <v>50000</v>
      </c>
      <c r="U416" s="41"/>
      <c r="V416" s="147" t="s">
        <v>94</v>
      </c>
      <c r="W416" s="42"/>
      <c r="X416" s="42">
        <v>53.9</v>
      </c>
      <c r="Y416" s="46"/>
      <c r="Z416" s="43"/>
      <c r="AA416" s="40"/>
      <c r="AB416" s="40"/>
      <c r="AC416" s="43"/>
      <c r="AD416" s="43"/>
      <c r="AE416" s="43"/>
      <c r="AF416" s="43"/>
      <c r="AG416" s="75">
        <v>44893</v>
      </c>
      <c r="AH416" s="75">
        <v>44893</v>
      </c>
      <c r="AI416" s="78"/>
      <c r="AJ416" s="78"/>
      <c r="AK416" s="78"/>
      <c r="AL416" s="134" t="s">
        <v>31</v>
      </c>
      <c r="AM416" s="73">
        <v>50000</v>
      </c>
      <c r="AN416" s="44"/>
      <c r="AO416" s="44"/>
      <c r="AP416" s="73">
        <v>49180</v>
      </c>
      <c r="AQ416" s="44"/>
      <c r="AR416" s="44"/>
      <c r="AS416" s="40"/>
      <c r="AT416" s="40"/>
      <c r="AU416" s="40"/>
      <c r="AV416" s="40"/>
      <c r="AW416" s="40"/>
      <c r="AX416" s="40"/>
      <c r="AY416" s="188"/>
      <c r="AZ416" s="98"/>
    </row>
    <row r="417" spans="1:53" s="19" customFormat="1" ht="25.5" x14ac:dyDescent="0.2">
      <c r="A417" s="72" t="s">
        <v>139</v>
      </c>
      <c r="B417" s="72" t="s">
        <v>198</v>
      </c>
      <c r="C417" s="40"/>
      <c r="D417" s="40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0"/>
      <c r="R417" s="40"/>
      <c r="S417" s="40"/>
      <c r="T417" s="73">
        <v>40500</v>
      </c>
      <c r="U417" s="41"/>
      <c r="V417" s="145" t="s">
        <v>95</v>
      </c>
      <c r="W417" s="42"/>
      <c r="X417" s="42">
        <v>53.9</v>
      </c>
      <c r="Y417" s="46"/>
      <c r="Z417" s="43"/>
      <c r="AA417" s="40"/>
      <c r="AB417" s="40"/>
      <c r="AC417" s="43"/>
      <c r="AD417" s="43"/>
      <c r="AE417" s="43"/>
      <c r="AF417" s="43"/>
      <c r="AG417" s="75">
        <v>44901</v>
      </c>
      <c r="AH417" s="75">
        <v>44901</v>
      </c>
      <c r="AI417" s="78"/>
      <c r="AJ417" s="156"/>
      <c r="AK417" s="156"/>
      <c r="AL417" s="134" t="s">
        <v>31</v>
      </c>
      <c r="AM417" s="73">
        <v>40500</v>
      </c>
      <c r="AN417" s="44"/>
      <c r="AO417" s="44"/>
      <c r="AP417" s="73">
        <v>40390</v>
      </c>
      <c r="AQ417" s="44"/>
      <c r="AR417" s="44"/>
      <c r="AS417" s="40"/>
      <c r="AT417" s="40"/>
      <c r="AU417" s="40"/>
      <c r="AV417" s="40"/>
      <c r="AW417" s="40"/>
      <c r="AX417" s="40"/>
      <c r="AY417" s="188"/>
      <c r="AZ417" s="98"/>
    </row>
    <row r="418" spans="1:53" s="19" customFormat="1" ht="25.5" x14ac:dyDescent="0.2">
      <c r="A418" s="72" t="s">
        <v>154</v>
      </c>
      <c r="B418" s="72" t="s">
        <v>225</v>
      </c>
      <c r="C418" s="40"/>
      <c r="D418" s="40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0"/>
      <c r="R418" s="40"/>
      <c r="S418" s="40"/>
      <c r="T418" s="73">
        <v>4000</v>
      </c>
      <c r="U418" s="41"/>
      <c r="V418" s="149" t="s">
        <v>95</v>
      </c>
      <c r="W418" s="42"/>
      <c r="X418" s="42">
        <v>53.9</v>
      </c>
      <c r="Y418" s="46"/>
      <c r="Z418" s="43"/>
      <c r="AA418" s="40"/>
      <c r="AB418" s="40"/>
      <c r="AC418" s="43"/>
      <c r="AD418" s="43"/>
      <c r="AE418" s="43"/>
      <c r="AF418" s="43"/>
      <c r="AG418" s="75">
        <v>44901</v>
      </c>
      <c r="AH418" s="75">
        <v>44901</v>
      </c>
      <c r="AI418" s="78"/>
      <c r="AJ418" s="77"/>
      <c r="AK418" s="77"/>
      <c r="AL418" s="134" t="s">
        <v>31</v>
      </c>
      <c r="AM418" s="73">
        <v>4000</v>
      </c>
      <c r="AN418" s="44"/>
      <c r="AO418" s="44"/>
      <c r="AP418" s="73">
        <v>3800</v>
      </c>
      <c r="AQ418" s="44"/>
      <c r="AR418" s="44"/>
      <c r="AS418" s="40"/>
      <c r="AT418" s="40"/>
      <c r="AU418" s="40"/>
      <c r="AV418" s="40"/>
      <c r="AW418" s="40"/>
      <c r="AX418" s="40"/>
      <c r="AY418" s="188"/>
      <c r="AZ418" s="98"/>
    </row>
    <row r="419" spans="1:53" s="19" customFormat="1" ht="12.75" x14ac:dyDescent="0.2">
      <c r="A419" s="72" t="s">
        <v>143</v>
      </c>
      <c r="B419" s="72" t="s">
        <v>185</v>
      </c>
      <c r="C419" s="40"/>
      <c r="D419" s="40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0"/>
      <c r="R419" s="40"/>
      <c r="S419" s="40"/>
      <c r="T419" s="73">
        <v>2000</v>
      </c>
      <c r="U419" s="41"/>
      <c r="V419" s="149" t="s">
        <v>95</v>
      </c>
      <c r="W419" s="42"/>
      <c r="X419" s="42">
        <v>53.9</v>
      </c>
      <c r="Y419" s="46"/>
      <c r="Z419" s="43"/>
      <c r="AA419" s="40"/>
      <c r="AB419" s="40"/>
      <c r="AC419" s="43"/>
      <c r="AD419" s="43"/>
      <c r="AE419" s="43"/>
      <c r="AF419" s="43"/>
      <c r="AG419" s="75">
        <v>44901</v>
      </c>
      <c r="AH419" s="75">
        <v>44901</v>
      </c>
      <c r="AI419" s="78"/>
      <c r="AJ419" s="77"/>
      <c r="AK419" s="77"/>
      <c r="AL419" s="134" t="s">
        <v>31</v>
      </c>
      <c r="AM419" s="73">
        <v>2000</v>
      </c>
      <c r="AN419" s="44"/>
      <c r="AO419" s="44"/>
      <c r="AP419" s="73">
        <v>1970</v>
      </c>
      <c r="AQ419" s="44"/>
      <c r="AR419" s="44"/>
      <c r="AS419" s="40"/>
      <c r="AT419" s="40"/>
      <c r="AU419" s="40"/>
      <c r="AV419" s="40"/>
      <c r="AW419" s="40"/>
      <c r="AX419" s="40"/>
      <c r="AY419" s="188"/>
      <c r="AZ419" s="98"/>
    </row>
    <row r="420" spans="1:53" s="19" customFormat="1" ht="12.75" x14ac:dyDescent="0.2">
      <c r="A420" s="72" t="s">
        <v>145</v>
      </c>
      <c r="B420" s="72" t="s">
        <v>201</v>
      </c>
      <c r="C420" s="40"/>
      <c r="D420" s="40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0"/>
      <c r="R420" s="40"/>
      <c r="S420" s="40"/>
      <c r="T420" s="73">
        <v>50000</v>
      </c>
      <c r="U420" s="41"/>
      <c r="V420" s="149" t="s">
        <v>83</v>
      </c>
      <c r="W420" s="42"/>
      <c r="X420" s="42">
        <v>53.9</v>
      </c>
      <c r="Y420" s="46"/>
      <c r="Z420" s="43"/>
      <c r="AA420" s="40"/>
      <c r="AB420" s="40"/>
      <c r="AC420" s="43"/>
      <c r="AD420" s="43"/>
      <c r="AE420" s="43"/>
      <c r="AF420" s="43"/>
      <c r="AG420" s="75">
        <v>44903</v>
      </c>
      <c r="AH420" s="75">
        <v>44903</v>
      </c>
      <c r="AI420" s="78"/>
      <c r="AJ420" s="77"/>
      <c r="AK420" s="77"/>
      <c r="AL420" s="134" t="s">
        <v>31</v>
      </c>
      <c r="AM420" s="73">
        <v>50000</v>
      </c>
      <c r="AN420" s="44"/>
      <c r="AO420" s="44"/>
      <c r="AP420" s="73">
        <v>49946</v>
      </c>
      <c r="AQ420" s="44"/>
      <c r="AR420" s="44"/>
      <c r="AS420" s="40"/>
      <c r="AT420" s="40"/>
      <c r="AU420" s="40"/>
      <c r="AV420" s="40"/>
      <c r="AW420" s="40"/>
      <c r="AX420" s="40"/>
      <c r="AY420" s="188"/>
      <c r="AZ420" s="98"/>
    </row>
    <row r="421" spans="1:53" s="19" customFormat="1" ht="12.75" x14ac:dyDescent="0.2">
      <c r="A421" s="72" t="s">
        <v>137</v>
      </c>
      <c r="B421" s="72" t="s">
        <v>209</v>
      </c>
      <c r="C421" s="40"/>
      <c r="D421" s="40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0"/>
      <c r="R421" s="40"/>
      <c r="S421" s="40"/>
      <c r="T421" s="73">
        <v>103800</v>
      </c>
      <c r="U421" s="41"/>
      <c r="V421" s="149" t="s">
        <v>95</v>
      </c>
      <c r="W421" s="42"/>
      <c r="X421" s="42">
        <v>53.9</v>
      </c>
      <c r="Y421" s="46"/>
      <c r="Z421" s="43"/>
      <c r="AA421" s="40"/>
      <c r="AB421" s="40"/>
      <c r="AC421" s="43"/>
      <c r="AD421" s="43"/>
      <c r="AE421" s="43"/>
      <c r="AF421" s="43"/>
      <c r="AG421" s="75">
        <v>44903</v>
      </c>
      <c r="AH421" s="75">
        <v>44903</v>
      </c>
      <c r="AI421" s="78"/>
      <c r="AJ421" s="78"/>
      <c r="AK421" s="78"/>
      <c r="AL421" s="134" t="s">
        <v>31</v>
      </c>
      <c r="AM421" s="73">
        <v>103800</v>
      </c>
      <c r="AN421" s="44"/>
      <c r="AO421" s="44"/>
      <c r="AP421" s="73">
        <v>103625</v>
      </c>
      <c r="AQ421" s="44"/>
      <c r="AR421" s="44"/>
      <c r="AS421" s="40"/>
      <c r="AT421" s="40"/>
      <c r="AU421" s="40"/>
      <c r="AV421" s="40"/>
      <c r="AW421" s="40"/>
      <c r="AX421" s="40"/>
      <c r="AY421" s="188"/>
      <c r="AZ421" s="98"/>
    </row>
    <row r="422" spans="1:53" s="19" customFormat="1" ht="12.75" x14ac:dyDescent="0.2">
      <c r="A422" s="72" t="s">
        <v>146</v>
      </c>
      <c r="B422" s="72" t="s">
        <v>217</v>
      </c>
      <c r="C422" s="40"/>
      <c r="D422" s="40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0"/>
      <c r="R422" s="40"/>
      <c r="S422" s="40"/>
      <c r="T422" s="73">
        <v>35000</v>
      </c>
      <c r="U422" s="41"/>
      <c r="V422" s="149" t="s">
        <v>83</v>
      </c>
      <c r="W422" s="42"/>
      <c r="X422" s="42">
        <v>53.9</v>
      </c>
      <c r="Y422" s="46"/>
      <c r="Z422" s="43"/>
      <c r="AA422" s="40"/>
      <c r="AB422" s="40"/>
      <c r="AC422" s="43"/>
      <c r="AD422" s="43"/>
      <c r="AE422" s="43"/>
      <c r="AF422" s="43"/>
      <c r="AG422" s="75">
        <v>44908</v>
      </c>
      <c r="AH422" s="75">
        <v>44908</v>
      </c>
      <c r="AI422" s="78"/>
      <c r="AJ422" s="77"/>
      <c r="AK422" s="77"/>
      <c r="AL422" s="134" t="s">
        <v>31</v>
      </c>
      <c r="AM422" s="73">
        <v>35000</v>
      </c>
      <c r="AN422" s="44"/>
      <c r="AO422" s="44"/>
      <c r="AP422" s="73">
        <v>34691</v>
      </c>
      <c r="AQ422" s="44"/>
      <c r="AR422" s="44"/>
      <c r="AS422" s="40"/>
      <c r="AT422" s="40"/>
      <c r="AU422" s="40"/>
      <c r="AV422" s="40"/>
      <c r="AW422" s="40"/>
      <c r="AX422" s="40"/>
      <c r="AY422" s="188"/>
      <c r="AZ422" s="98"/>
    </row>
    <row r="423" spans="1:53" s="19" customFormat="1" ht="12.75" x14ac:dyDescent="0.2">
      <c r="A423" s="72" t="s">
        <v>142</v>
      </c>
      <c r="B423" s="72" t="s">
        <v>116</v>
      </c>
      <c r="C423" s="40"/>
      <c r="D423" s="40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0"/>
      <c r="R423" s="40"/>
      <c r="S423" s="40"/>
      <c r="T423" s="73">
        <v>31000</v>
      </c>
      <c r="U423" s="41"/>
      <c r="V423" s="149" t="s">
        <v>95</v>
      </c>
      <c r="W423" s="42"/>
      <c r="X423" s="42">
        <v>53.9</v>
      </c>
      <c r="Y423" s="46"/>
      <c r="Z423" s="43"/>
      <c r="AA423" s="40"/>
      <c r="AB423" s="40"/>
      <c r="AC423" s="43"/>
      <c r="AD423" s="43"/>
      <c r="AE423" s="43"/>
      <c r="AF423" s="43"/>
      <c r="AG423" s="75">
        <v>44908</v>
      </c>
      <c r="AH423" s="75">
        <v>44908</v>
      </c>
      <c r="AI423" s="78"/>
      <c r="AJ423" s="77"/>
      <c r="AK423" s="77"/>
      <c r="AL423" s="134" t="s">
        <v>31</v>
      </c>
      <c r="AM423" s="73">
        <v>31000</v>
      </c>
      <c r="AN423" s="44"/>
      <c r="AO423" s="44"/>
      <c r="AP423" s="73">
        <v>30940</v>
      </c>
      <c r="AQ423" s="44"/>
      <c r="AR423" s="44"/>
      <c r="AS423" s="40"/>
      <c r="AT423" s="40"/>
      <c r="AU423" s="40"/>
      <c r="AV423" s="40"/>
      <c r="AW423" s="40"/>
      <c r="AX423" s="40"/>
      <c r="AY423" s="188"/>
      <c r="AZ423" s="98"/>
    </row>
    <row r="424" spans="1:53" s="19" customFormat="1" ht="12.75" x14ac:dyDescent="0.2">
      <c r="A424" s="72" t="s">
        <v>152</v>
      </c>
      <c r="B424" s="72" t="s">
        <v>124</v>
      </c>
      <c r="C424" s="40"/>
      <c r="D424" s="40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0"/>
      <c r="R424" s="40"/>
      <c r="S424" s="40"/>
      <c r="T424" s="73">
        <v>2000</v>
      </c>
      <c r="U424" s="41"/>
      <c r="V424" s="149" t="s">
        <v>95</v>
      </c>
      <c r="W424" s="42"/>
      <c r="X424" s="42">
        <v>53.9</v>
      </c>
      <c r="Y424" s="46"/>
      <c r="Z424" s="43"/>
      <c r="AA424" s="40"/>
      <c r="AB424" s="40"/>
      <c r="AC424" s="43"/>
      <c r="AD424" s="43"/>
      <c r="AE424" s="43"/>
      <c r="AF424" s="43"/>
      <c r="AG424" s="75">
        <v>44908</v>
      </c>
      <c r="AH424" s="75">
        <v>44908</v>
      </c>
      <c r="AI424" s="78"/>
      <c r="AJ424" s="156"/>
      <c r="AK424" s="156"/>
      <c r="AL424" s="134" t="s">
        <v>31</v>
      </c>
      <c r="AM424" s="73">
        <v>2000</v>
      </c>
      <c r="AN424" s="44"/>
      <c r="AO424" s="44"/>
      <c r="AP424" s="73">
        <v>1990</v>
      </c>
      <c r="AQ424" s="44"/>
      <c r="AR424" s="44"/>
      <c r="AS424" s="40"/>
      <c r="AT424" s="40"/>
      <c r="AU424" s="40"/>
      <c r="AV424" s="40"/>
      <c r="AW424" s="40"/>
      <c r="AX424" s="40"/>
      <c r="AY424" s="188"/>
      <c r="AZ424" s="98"/>
    </row>
    <row r="425" spans="1:53" s="19" customFormat="1" ht="12.75" x14ac:dyDescent="0.2">
      <c r="A425" s="72" t="s">
        <v>134</v>
      </c>
      <c r="B425" s="72" t="s">
        <v>110</v>
      </c>
      <c r="C425" s="40"/>
      <c r="D425" s="40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0"/>
      <c r="R425" s="40"/>
      <c r="S425" s="40"/>
      <c r="T425" s="73">
        <v>1500</v>
      </c>
      <c r="U425" s="41"/>
      <c r="V425" s="145" t="s">
        <v>95</v>
      </c>
      <c r="W425" s="42"/>
      <c r="X425" s="42">
        <v>53.9</v>
      </c>
      <c r="Y425" s="46"/>
      <c r="Z425" s="43"/>
      <c r="AA425" s="40"/>
      <c r="AB425" s="40"/>
      <c r="AC425" s="43"/>
      <c r="AD425" s="43"/>
      <c r="AE425" s="43"/>
      <c r="AF425" s="43"/>
      <c r="AG425" s="75">
        <v>44908</v>
      </c>
      <c r="AH425" s="75">
        <v>44908</v>
      </c>
      <c r="AI425" s="97"/>
      <c r="AJ425" s="97"/>
      <c r="AK425" s="97"/>
      <c r="AL425" s="134" t="s">
        <v>31</v>
      </c>
      <c r="AM425" s="158">
        <v>1500</v>
      </c>
      <c r="AN425" s="159"/>
      <c r="AO425" s="159"/>
      <c r="AP425" s="73">
        <v>1490</v>
      </c>
      <c r="AQ425" s="44"/>
      <c r="AR425" s="44"/>
      <c r="AS425" s="40"/>
      <c r="AT425" s="40"/>
      <c r="AU425" s="40"/>
      <c r="AV425" s="40"/>
      <c r="AW425" s="40"/>
      <c r="AX425" s="40"/>
      <c r="AY425" s="188"/>
      <c r="AZ425" s="98"/>
    </row>
    <row r="426" spans="1:53" s="19" customFormat="1" ht="12.75" x14ac:dyDescent="0.2">
      <c r="A426" s="245" t="s">
        <v>45</v>
      </c>
      <c r="B426" s="245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  <c r="V426" s="245"/>
      <c r="W426" s="245"/>
      <c r="X426" s="245"/>
      <c r="Y426" s="245"/>
      <c r="Z426" s="245"/>
      <c r="AA426" s="245"/>
      <c r="AB426" s="245"/>
      <c r="AC426" s="245"/>
      <c r="AD426" s="245"/>
      <c r="AE426" s="245"/>
      <c r="AF426" s="245"/>
      <c r="AG426" s="245"/>
      <c r="AH426" s="245"/>
      <c r="AI426" s="245"/>
      <c r="AJ426" s="245"/>
      <c r="AK426" s="245"/>
      <c r="AL426" s="245"/>
      <c r="AM426" s="246">
        <f>SUM(AM292:AM425)</f>
        <v>7248260</v>
      </c>
      <c r="AN426" s="246"/>
      <c r="AO426" s="246"/>
      <c r="AP426" s="247"/>
      <c r="AQ426" s="247"/>
      <c r="AR426" s="247"/>
    </row>
    <row r="431" spans="1:53" s="61" customFormat="1" ht="15" x14ac:dyDescent="0.2">
      <c r="V431" s="11" t="s">
        <v>46</v>
      </c>
      <c r="W431" s="11"/>
      <c r="X431" s="67"/>
      <c r="Y431" s="11"/>
      <c r="Z431" s="11"/>
      <c r="AA431" s="11"/>
      <c r="AB431" s="11"/>
      <c r="AC431" s="11"/>
      <c r="AD431" s="11"/>
      <c r="AE431" s="11"/>
      <c r="AF431" s="11"/>
      <c r="AG431" s="12" t="s">
        <v>47</v>
      </c>
      <c r="AI431" s="11"/>
      <c r="AJ431" s="127"/>
      <c r="AK431" s="11"/>
      <c r="AL431" s="138"/>
      <c r="AM431" s="128"/>
      <c r="AN431" s="129"/>
      <c r="AO431" s="129"/>
      <c r="AP431" s="128"/>
      <c r="AQ431" s="130"/>
      <c r="AR431" s="24" t="s">
        <v>48</v>
      </c>
      <c r="AS431" s="131"/>
      <c r="AU431" s="132"/>
      <c r="AV431" s="133"/>
      <c r="AW431" s="133"/>
      <c r="AX431" s="133"/>
      <c r="AY431" s="132"/>
      <c r="AZ431" s="132"/>
      <c r="BA431" s="132"/>
    </row>
    <row r="432" spans="1:53" ht="15" x14ac:dyDescent="0.2">
      <c r="V432" s="11"/>
      <c r="W432" s="11"/>
      <c r="X432" s="67"/>
      <c r="Y432" s="11"/>
      <c r="Z432" s="11"/>
      <c r="AA432" s="11"/>
      <c r="AB432" s="11"/>
      <c r="AC432" s="11"/>
      <c r="AD432" s="11"/>
      <c r="AE432" s="22"/>
      <c r="AF432" s="22"/>
      <c r="AG432" s="27"/>
      <c r="AI432" s="21"/>
      <c r="AJ432" s="127"/>
      <c r="AK432" s="21"/>
      <c r="AL432" s="139"/>
      <c r="AM432" s="39"/>
      <c r="AN432" s="23"/>
      <c r="AO432" s="23"/>
      <c r="AP432" s="39"/>
      <c r="AQ432" s="22"/>
      <c r="AR432" s="11"/>
      <c r="AS432" s="25"/>
      <c r="AU432" s="28"/>
      <c r="AV432" s="11"/>
      <c r="AW432" s="11"/>
      <c r="AX432" s="11"/>
      <c r="AY432" s="11"/>
      <c r="AZ432" s="11"/>
      <c r="BA432" s="11"/>
    </row>
    <row r="433" spans="22:53" ht="15" x14ac:dyDescent="0.2">
      <c r="V433" s="11"/>
      <c r="W433" s="11"/>
      <c r="X433" s="67"/>
      <c r="Y433" s="11"/>
      <c r="Z433" s="11"/>
      <c r="AA433" s="11"/>
      <c r="AB433" s="11"/>
      <c r="AC433" s="11"/>
      <c r="AD433" s="11"/>
      <c r="AE433" s="11"/>
      <c r="AF433" s="11"/>
      <c r="AG433" s="25"/>
      <c r="AI433" s="21"/>
      <c r="AJ433" s="59"/>
      <c r="AK433" s="21"/>
      <c r="AL433" s="139"/>
      <c r="AM433" s="39"/>
      <c r="AN433" s="23"/>
      <c r="AO433" s="23"/>
      <c r="AP433" s="39"/>
      <c r="AQ433" s="22"/>
      <c r="AR433" s="11"/>
      <c r="AS433" s="25"/>
      <c r="AU433" s="28"/>
      <c r="AV433" s="11"/>
      <c r="AW433" s="11"/>
      <c r="AX433" s="11"/>
      <c r="AY433" s="11"/>
      <c r="AZ433" s="11"/>
      <c r="BA433" s="11"/>
    </row>
    <row r="434" spans="22:53" ht="15" x14ac:dyDescent="0.2">
      <c r="AI434" s="21"/>
      <c r="AJ434" s="59"/>
      <c r="AK434" s="21"/>
      <c r="AL434" s="139"/>
      <c r="AM434" s="39"/>
      <c r="AN434" s="23"/>
      <c r="AO434" s="23"/>
      <c r="AP434" s="39"/>
      <c r="AQ434" s="22"/>
      <c r="AR434" s="21"/>
      <c r="AS434" s="25"/>
      <c r="AU434" s="28"/>
      <c r="AV434" s="21"/>
      <c r="AW434" s="21"/>
      <c r="AX434" s="21"/>
      <c r="AY434" s="21"/>
      <c r="AZ434" s="21"/>
      <c r="BA434" s="21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287:AL287"/>
    <mergeCell ref="AM287:AO287"/>
    <mergeCell ref="AP287:AR287"/>
    <mergeCell ref="A288:AL288"/>
    <mergeCell ref="AM288:AO288"/>
    <mergeCell ref="AP288:AR288"/>
    <mergeCell ref="A289:AL289"/>
    <mergeCell ref="AM289:AR289"/>
    <mergeCell ref="A426:AL426"/>
    <mergeCell ref="AM426:AO426"/>
    <mergeCell ref="AP426:AR42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5"/>
  <sheetViews>
    <sheetView workbookViewId="0">
      <selection activeCell="B16" sqref="B16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6" style="65" customWidth="1"/>
    <col min="23" max="23" width="13.42578125" style="20" customWidth="1"/>
    <col min="24" max="24" width="13.28515625" style="65" customWidth="1"/>
    <col min="25" max="25" width="17.42578125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6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14" t="s">
        <v>278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V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64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02" customFormat="1" ht="12.75" customHeight="1" x14ac:dyDescent="0.2">
      <c r="A9" s="222" t="s">
        <v>151</v>
      </c>
      <c r="B9" s="72" t="s">
        <v>241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73">
        <v>17500</v>
      </c>
      <c r="U9" s="84"/>
      <c r="V9" s="221" t="s">
        <v>276</v>
      </c>
      <c r="W9" s="109"/>
      <c r="X9" s="111" t="s">
        <v>277</v>
      </c>
      <c r="Y9" s="109"/>
      <c r="Z9" s="109"/>
      <c r="AA9" s="109"/>
      <c r="AB9" s="109"/>
      <c r="AC9" s="109"/>
      <c r="AD9" s="109"/>
      <c r="AE9" s="109"/>
      <c r="AF9" s="109"/>
      <c r="AG9" s="224">
        <v>44627</v>
      </c>
      <c r="AH9" s="75">
        <v>44627</v>
      </c>
      <c r="AI9" s="225">
        <v>44658</v>
      </c>
      <c r="AJ9" s="225">
        <v>44664</v>
      </c>
      <c r="AK9" s="225">
        <v>44664</v>
      </c>
      <c r="AL9" s="112" t="s">
        <v>31</v>
      </c>
      <c r="AM9" s="73">
        <v>17500</v>
      </c>
      <c r="AN9" s="109"/>
      <c r="AO9" s="172"/>
      <c r="AP9" s="73">
        <v>17055</v>
      </c>
      <c r="AQ9" s="109"/>
      <c r="AR9" s="172"/>
      <c r="AS9" s="109"/>
      <c r="AT9" s="109"/>
      <c r="AU9" s="109"/>
      <c r="AV9" s="109"/>
      <c r="AW9" s="109"/>
      <c r="AX9" s="109"/>
      <c r="AY9" s="109"/>
      <c r="AZ9" s="110"/>
    </row>
    <row r="10" spans="1:52" s="102" customFormat="1" ht="12.75" customHeight="1" x14ac:dyDescent="0.2">
      <c r="A10" s="222" t="s">
        <v>151</v>
      </c>
      <c r="B10" s="72" t="s">
        <v>241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73">
        <v>17500</v>
      </c>
      <c r="U10" s="84"/>
      <c r="V10" s="221" t="s">
        <v>276</v>
      </c>
      <c r="W10" s="109"/>
      <c r="X10" s="111" t="s">
        <v>277</v>
      </c>
      <c r="Y10" s="109"/>
      <c r="Z10" s="109"/>
      <c r="AA10" s="109"/>
      <c r="AB10" s="109"/>
      <c r="AC10" s="109"/>
      <c r="AD10" s="109"/>
      <c r="AE10" s="109"/>
      <c r="AF10" s="109"/>
      <c r="AG10" s="224">
        <v>44679</v>
      </c>
      <c r="AH10" s="75">
        <v>44679</v>
      </c>
      <c r="AI10" s="225">
        <v>44669</v>
      </c>
      <c r="AJ10" s="225">
        <v>44673</v>
      </c>
      <c r="AK10" s="225">
        <v>44673</v>
      </c>
      <c r="AL10" s="112" t="s">
        <v>31</v>
      </c>
      <c r="AM10" s="73">
        <v>17500</v>
      </c>
      <c r="AN10" s="109"/>
      <c r="AO10" s="172"/>
      <c r="AP10" s="73">
        <v>17124</v>
      </c>
      <c r="AQ10" s="109"/>
      <c r="AR10" s="172"/>
      <c r="AS10" s="109"/>
      <c r="AT10" s="109"/>
      <c r="AU10" s="109"/>
      <c r="AV10" s="109"/>
      <c r="AW10" s="109"/>
      <c r="AX10" s="109"/>
      <c r="AY10" s="109"/>
      <c r="AZ10" s="110"/>
    </row>
    <row r="11" spans="1:52" s="102" customFormat="1" ht="12.75" customHeight="1" x14ac:dyDescent="0.2">
      <c r="A11" s="222" t="s">
        <v>151</v>
      </c>
      <c r="B11" s="72" t="s">
        <v>241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73">
        <v>17500</v>
      </c>
      <c r="U11" s="84"/>
      <c r="V11" s="221" t="s">
        <v>276</v>
      </c>
      <c r="W11" s="109"/>
      <c r="X11" s="111" t="s">
        <v>277</v>
      </c>
      <c r="Y11" s="109"/>
      <c r="Z11" s="109"/>
      <c r="AA11" s="109"/>
      <c r="AB11" s="109"/>
      <c r="AC11" s="109"/>
      <c r="AD11" s="109"/>
      <c r="AE11" s="109"/>
      <c r="AF11" s="109"/>
      <c r="AG11" s="224">
        <v>44742</v>
      </c>
      <c r="AH11" s="75">
        <v>44742</v>
      </c>
      <c r="AI11" s="225">
        <v>44753</v>
      </c>
      <c r="AJ11" s="225">
        <v>44760</v>
      </c>
      <c r="AK11" s="225">
        <v>44760</v>
      </c>
      <c r="AL11" s="112" t="s">
        <v>31</v>
      </c>
      <c r="AM11" s="73">
        <v>17500</v>
      </c>
      <c r="AN11" s="109"/>
      <c r="AO11" s="172"/>
      <c r="AP11" s="73">
        <v>17063</v>
      </c>
      <c r="AQ11" s="109"/>
      <c r="AR11" s="172"/>
      <c r="AS11" s="109"/>
      <c r="AT11" s="109"/>
      <c r="AU11" s="109"/>
      <c r="AV11" s="109"/>
      <c r="AW11" s="109"/>
      <c r="AX11" s="109"/>
      <c r="AY11" s="109"/>
      <c r="AZ11" s="110"/>
    </row>
    <row r="12" spans="1:52" s="102" customFormat="1" ht="12.75" customHeight="1" x14ac:dyDescent="0.2">
      <c r="A12" s="222" t="s">
        <v>264</v>
      </c>
      <c r="B12" s="72" t="s">
        <v>241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73">
        <v>17500</v>
      </c>
      <c r="U12" s="84"/>
      <c r="V12" s="221" t="s">
        <v>276</v>
      </c>
      <c r="W12" s="109"/>
      <c r="X12" s="111" t="s">
        <v>277</v>
      </c>
      <c r="Y12" s="109"/>
      <c r="Z12" s="109"/>
      <c r="AA12" s="109"/>
      <c r="AB12" s="109"/>
      <c r="AC12" s="109"/>
      <c r="AD12" s="109"/>
      <c r="AE12" s="109"/>
      <c r="AF12" s="109"/>
      <c r="AG12" s="224">
        <v>44832</v>
      </c>
      <c r="AH12" s="75">
        <v>44832</v>
      </c>
      <c r="AI12" s="225">
        <v>44881</v>
      </c>
      <c r="AJ12" s="225">
        <v>44888</v>
      </c>
      <c r="AK12" s="225">
        <v>44888</v>
      </c>
      <c r="AL12" s="112" t="s">
        <v>31</v>
      </c>
      <c r="AM12" s="73">
        <v>17500</v>
      </c>
      <c r="AN12" s="109"/>
      <c r="AO12" s="172"/>
      <c r="AP12" s="73">
        <v>17268</v>
      </c>
      <c r="AQ12" s="109"/>
      <c r="AR12" s="172"/>
      <c r="AS12" s="109"/>
      <c r="AT12" s="109"/>
      <c r="AU12" s="109"/>
      <c r="AV12" s="109"/>
      <c r="AW12" s="109"/>
      <c r="AX12" s="109"/>
      <c r="AY12" s="109"/>
      <c r="AZ12" s="110"/>
    </row>
    <row r="13" spans="1:52" s="102" customFormat="1" ht="12.75" customHeight="1" x14ac:dyDescent="0.2">
      <c r="A13" s="222" t="s">
        <v>141</v>
      </c>
      <c r="B13" s="106" t="s">
        <v>130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73">
        <f>22500+10000</f>
        <v>32500</v>
      </c>
      <c r="U13" s="84"/>
      <c r="V13" s="221" t="s">
        <v>276</v>
      </c>
      <c r="W13" s="109"/>
      <c r="X13" s="111">
        <v>53.9</v>
      </c>
      <c r="Y13" s="109"/>
      <c r="Z13" s="109"/>
      <c r="AA13" s="109"/>
      <c r="AB13" s="109"/>
      <c r="AC13" s="109"/>
      <c r="AD13" s="109"/>
      <c r="AE13" s="109"/>
      <c r="AF13" s="109"/>
      <c r="AG13" s="224">
        <v>44624</v>
      </c>
      <c r="AH13" s="75">
        <v>44624</v>
      </c>
      <c r="AI13" s="226">
        <v>44648</v>
      </c>
      <c r="AJ13" s="227">
        <v>44651</v>
      </c>
      <c r="AK13" s="227">
        <v>44651</v>
      </c>
      <c r="AL13" s="112" t="s">
        <v>31</v>
      </c>
      <c r="AM13" s="223">
        <f>22500+10000</f>
        <v>32500</v>
      </c>
      <c r="AN13" s="109"/>
      <c r="AO13" s="172"/>
      <c r="AP13" s="73">
        <v>31967</v>
      </c>
      <c r="AQ13" s="109"/>
      <c r="AR13" s="172"/>
      <c r="AS13" s="109"/>
      <c r="AT13" s="109"/>
      <c r="AU13" s="109"/>
      <c r="AV13" s="109"/>
      <c r="AW13" s="109"/>
      <c r="AX13" s="109"/>
      <c r="AY13" s="109"/>
      <c r="AZ13" s="110"/>
    </row>
    <row r="14" spans="1:52" s="102" customFormat="1" ht="12.75" customHeight="1" x14ac:dyDescent="0.2">
      <c r="A14" s="222" t="s">
        <v>142</v>
      </c>
      <c r="B14" s="72" t="s">
        <v>116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73">
        <f>5000+22500</f>
        <v>27500</v>
      </c>
      <c r="U14" s="84"/>
      <c r="V14" s="221" t="s">
        <v>276</v>
      </c>
      <c r="W14" s="109"/>
      <c r="X14" s="111">
        <v>53.9</v>
      </c>
      <c r="Y14" s="109"/>
      <c r="Z14" s="109"/>
      <c r="AA14" s="109"/>
      <c r="AB14" s="109"/>
      <c r="AC14" s="109"/>
      <c r="AD14" s="109"/>
      <c r="AE14" s="109"/>
      <c r="AF14" s="109"/>
      <c r="AG14" s="224">
        <v>44676</v>
      </c>
      <c r="AH14" s="75">
        <v>44676</v>
      </c>
      <c r="AI14" s="225">
        <v>44684</v>
      </c>
      <c r="AJ14" s="225">
        <v>44691</v>
      </c>
      <c r="AK14" s="225">
        <v>44691</v>
      </c>
      <c r="AL14" s="112" t="s">
        <v>31</v>
      </c>
      <c r="AM14" s="73">
        <f>5000+22500</f>
        <v>27500</v>
      </c>
      <c r="AN14" s="109"/>
      <c r="AO14" s="172"/>
      <c r="AP14" s="73">
        <v>27163</v>
      </c>
      <c r="AQ14" s="109"/>
      <c r="AR14" s="172"/>
      <c r="AS14" s="109"/>
      <c r="AT14" s="109"/>
      <c r="AU14" s="109"/>
      <c r="AV14" s="109"/>
      <c r="AW14" s="109"/>
      <c r="AX14" s="109"/>
      <c r="AY14" s="109"/>
      <c r="AZ14" s="110"/>
    </row>
    <row r="15" spans="1:52" s="102" customFormat="1" ht="12.75" customHeight="1" x14ac:dyDescent="0.2">
      <c r="A15" s="222" t="s">
        <v>143</v>
      </c>
      <c r="B15" s="72" t="s">
        <v>128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73">
        <f>5000+22500+5000</f>
        <v>32500</v>
      </c>
      <c r="U15" s="84"/>
      <c r="V15" s="221" t="s">
        <v>276</v>
      </c>
      <c r="W15" s="109"/>
      <c r="X15" s="111">
        <v>53.9</v>
      </c>
      <c r="Y15" s="109"/>
      <c r="Z15" s="109"/>
      <c r="AA15" s="109"/>
      <c r="AB15" s="109"/>
      <c r="AC15" s="109"/>
      <c r="AD15" s="109"/>
      <c r="AE15" s="109"/>
      <c r="AF15" s="109"/>
      <c r="AG15" s="224">
        <v>44722</v>
      </c>
      <c r="AH15" s="75">
        <v>44722</v>
      </c>
      <c r="AI15" s="225">
        <v>44750</v>
      </c>
      <c r="AJ15" s="228">
        <v>44757</v>
      </c>
      <c r="AK15" s="228">
        <v>44757</v>
      </c>
      <c r="AL15" s="112" t="s">
        <v>31</v>
      </c>
      <c r="AM15" s="73">
        <f>5000+22500+5000</f>
        <v>32500</v>
      </c>
      <c r="AN15" s="109"/>
      <c r="AO15" s="172"/>
      <c r="AP15" s="73">
        <v>31872</v>
      </c>
      <c r="AQ15" s="109"/>
      <c r="AR15" s="172"/>
      <c r="AS15" s="109"/>
      <c r="AT15" s="109"/>
      <c r="AU15" s="109"/>
      <c r="AV15" s="109"/>
      <c r="AW15" s="109"/>
      <c r="AX15" s="109"/>
      <c r="AY15" s="109"/>
      <c r="AZ15" s="110"/>
    </row>
    <row r="16" spans="1:52" s="102" customFormat="1" ht="12.75" customHeight="1" x14ac:dyDescent="0.2">
      <c r="A16" s="222" t="s">
        <v>267</v>
      </c>
      <c r="B16" s="72" t="s">
        <v>116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73">
        <v>5000</v>
      </c>
      <c r="U16" s="84"/>
      <c r="V16" s="221" t="s">
        <v>276</v>
      </c>
      <c r="W16" s="109"/>
      <c r="X16" s="111">
        <v>53.9</v>
      </c>
      <c r="Y16" s="109"/>
      <c r="Z16" s="109"/>
      <c r="AA16" s="109"/>
      <c r="AB16" s="109"/>
      <c r="AC16" s="109"/>
      <c r="AD16" s="109"/>
      <c r="AE16" s="109"/>
      <c r="AF16" s="109"/>
      <c r="AG16" s="224">
        <v>44832</v>
      </c>
      <c r="AH16" s="142">
        <v>44832</v>
      </c>
      <c r="AI16" s="225">
        <v>44876</v>
      </c>
      <c r="AJ16" s="225">
        <v>44883</v>
      </c>
      <c r="AK16" s="225">
        <v>44883</v>
      </c>
      <c r="AL16" s="112" t="s">
        <v>31</v>
      </c>
      <c r="AM16" s="73">
        <v>5000</v>
      </c>
      <c r="AN16" s="109"/>
      <c r="AO16" s="172"/>
      <c r="AP16" s="73">
        <v>4980</v>
      </c>
      <c r="AQ16" s="109"/>
      <c r="AR16" s="172"/>
      <c r="AS16" s="109"/>
      <c r="AT16" s="109"/>
      <c r="AU16" s="109"/>
      <c r="AV16" s="109"/>
      <c r="AW16" s="109"/>
      <c r="AX16" s="109"/>
      <c r="AY16" s="109"/>
      <c r="AZ16" s="110"/>
    </row>
    <row r="17" spans="1:53" s="102" customFormat="1" ht="12.75" customHeight="1" x14ac:dyDescent="0.2">
      <c r="A17" s="222" t="s">
        <v>141</v>
      </c>
      <c r="B17" s="72" t="s">
        <v>130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73">
        <v>22500</v>
      </c>
      <c r="U17" s="84"/>
      <c r="V17" s="221" t="s">
        <v>276</v>
      </c>
      <c r="W17" s="109"/>
      <c r="X17" s="111">
        <v>53.9</v>
      </c>
      <c r="Y17" s="109"/>
      <c r="Z17" s="109"/>
      <c r="AA17" s="109"/>
      <c r="AB17" s="109"/>
      <c r="AC17" s="109"/>
      <c r="AD17" s="109"/>
      <c r="AE17" s="109"/>
      <c r="AF17" s="109"/>
      <c r="AG17" s="224">
        <v>44832</v>
      </c>
      <c r="AH17" s="75">
        <v>44832</v>
      </c>
      <c r="AI17" s="225">
        <v>44876</v>
      </c>
      <c r="AJ17" s="225">
        <v>44883</v>
      </c>
      <c r="AK17" s="225">
        <v>44883</v>
      </c>
      <c r="AL17" s="112" t="s">
        <v>31</v>
      </c>
      <c r="AM17" s="73">
        <v>22500</v>
      </c>
      <c r="AN17" s="109"/>
      <c r="AO17" s="172"/>
      <c r="AP17" s="73">
        <v>22263</v>
      </c>
      <c r="AQ17" s="109"/>
      <c r="AR17" s="172"/>
      <c r="AS17" s="109"/>
      <c r="AT17" s="109"/>
      <c r="AU17" s="109"/>
      <c r="AV17" s="109"/>
      <c r="AW17" s="109"/>
      <c r="AX17" s="109"/>
      <c r="AY17" s="109"/>
      <c r="AZ17" s="110"/>
    </row>
    <row r="18" spans="1:53" s="102" customFormat="1" ht="12.75" customHeight="1" x14ac:dyDescent="0.2">
      <c r="A18" s="222" t="s">
        <v>143</v>
      </c>
      <c r="B18" s="72" t="s">
        <v>185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73">
        <v>5000</v>
      </c>
      <c r="U18" s="84"/>
      <c r="V18" s="221" t="s">
        <v>276</v>
      </c>
      <c r="W18" s="109"/>
      <c r="X18" s="111">
        <v>53.9</v>
      </c>
      <c r="Y18" s="109"/>
      <c r="Z18" s="109"/>
      <c r="AA18" s="109"/>
      <c r="AB18" s="109"/>
      <c r="AC18" s="109"/>
      <c r="AD18" s="109"/>
      <c r="AE18" s="109"/>
      <c r="AF18" s="109"/>
      <c r="AG18" s="224">
        <v>44832</v>
      </c>
      <c r="AH18" s="76">
        <v>44832</v>
      </c>
      <c r="AI18" s="225">
        <v>44881</v>
      </c>
      <c r="AJ18" s="225">
        <v>44888</v>
      </c>
      <c r="AK18" s="225">
        <v>44888</v>
      </c>
      <c r="AL18" s="112" t="s">
        <v>31</v>
      </c>
      <c r="AM18" s="73">
        <v>5000</v>
      </c>
      <c r="AN18" s="109"/>
      <c r="AO18" s="172"/>
      <c r="AP18" s="73">
        <v>4891</v>
      </c>
      <c r="AQ18" s="109"/>
      <c r="AR18" s="172"/>
      <c r="AS18" s="109"/>
      <c r="AT18" s="109"/>
      <c r="AU18" s="109"/>
      <c r="AV18" s="109"/>
      <c r="AW18" s="109"/>
      <c r="AX18" s="109"/>
      <c r="AY18" s="109"/>
      <c r="AZ18" s="110"/>
    </row>
    <row r="19" spans="1:53" ht="12.75" x14ac:dyDescent="0.2">
      <c r="A19" s="270" t="s">
        <v>41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2"/>
      <c r="AM19" s="269">
        <f>SUM(AM9:AM18)</f>
        <v>195000</v>
      </c>
      <c r="AN19" s="269"/>
      <c r="AO19" s="269"/>
      <c r="AP19" s="250"/>
      <c r="AQ19" s="250"/>
      <c r="AR19" s="251"/>
      <c r="AS19" s="103"/>
      <c r="AT19" s="103"/>
      <c r="AU19" s="103"/>
      <c r="AV19" s="103"/>
      <c r="AW19" s="103"/>
      <c r="AX19" s="103"/>
      <c r="AY19" s="103"/>
      <c r="AZ19" s="103"/>
    </row>
    <row r="20" spans="1:53" ht="12.75" x14ac:dyDescent="0.2">
      <c r="A20" s="270" t="s">
        <v>42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2"/>
      <c r="AM20" s="253"/>
      <c r="AN20" s="253"/>
      <c r="AO20" s="253"/>
      <c r="AP20" s="254">
        <f>SUM(AP9:AP19)</f>
        <v>191646</v>
      </c>
      <c r="AQ20" s="255"/>
      <c r="AR20" s="255"/>
      <c r="AS20" s="103"/>
      <c r="AT20" s="103"/>
      <c r="AU20" s="103"/>
      <c r="AV20" s="103"/>
      <c r="AW20" s="103"/>
      <c r="AX20" s="103"/>
      <c r="AY20" s="103"/>
      <c r="AZ20" s="103"/>
    </row>
    <row r="21" spans="1:53" ht="12.75" x14ac:dyDescent="0.2">
      <c r="A21" s="242" t="s">
        <v>43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3">
        <f>AM19-AP20</f>
        <v>3354</v>
      </c>
      <c r="AN21" s="244"/>
      <c r="AO21" s="244"/>
      <c r="AP21" s="244"/>
      <c r="AQ21" s="244"/>
      <c r="AR21" s="244"/>
      <c r="AS21" s="103"/>
      <c r="AT21" s="103"/>
      <c r="AU21" s="103"/>
      <c r="AV21" s="103"/>
      <c r="AW21" s="103"/>
      <c r="AX21" s="103"/>
      <c r="AY21" s="103"/>
      <c r="AZ21" s="103"/>
    </row>
    <row r="22" spans="1:53" ht="15" thickBot="1" x14ac:dyDescent="0.25"/>
    <row r="23" spans="1:53" s="19" customFormat="1" ht="26.25" customHeight="1" x14ac:dyDescent="0.2">
      <c r="A23" s="68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64"/>
      <c r="W23" s="31"/>
      <c r="X23" s="64"/>
      <c r="Y23" s="31"/>
      <c r="Z23" s="31"/>
      <c r="AA23" s="31"/>
      <c r="AB23" s="31"/>
      <c r="AC23" s="31"/>
      <c r="AD23" s="31"/>
      <c r="AE23" s="31"/>
      <c r="AF23" s="31"/>
      <c r="AG23" s="31"/>
      <c r="AH23" s="62"/>
      <c r="AI23" s="31"/>
      <c r="AJ23" s="50"/>
      <c r="AK23" s="31"/>
      <c r="AL23" s="55"/>
      <c r="AM23" s="37"/>
      <c r="AN23" s="31"/>
      <c r="AO23" s="31"/>
      <c r="AP23" s="37"/>
      <c r="AQ23" s="31"/>
      <c r="AR23" s="31"/>
      <c r="AS23" s="31"/>
      <c r="AT23" s="31"/>
      <c r="AU23" s="31"/>
      <c r="AV23" s="31"/>
      <c r="AW23" s="31"/>
      <c r="AX23" s="31"/>
      <c r="AY23" s="31"/>
      <c r="AZ23" s="32"/>
    </row>
    <row r="24" spans="1:53" s="19" customFormat="1" x14ac:dyDescent="0.2">
      <c r="A24" s="72"/>
      <c r="B24" s="72"/>
      <c r="C24" s="98"/>
      <c r="D24" s="98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8"/>
      <c r="R24" s="98"/>
      <c r="S24" s="98"/>
      <c r="T24" s="73"/>
      <c r="U24" s="99"/>
      <c r="V24" s="116"/>
      <c r="W24" s="2"/>
      <c r="X24" s="2"/>
      <c r="Y24" s="46"/>
      <c r="Z24" s="100"/>
      <c r="AA24" s="98"/>
      <c r="AB24" s="98"/>
      <c r="AC24" s="100"/>
      <c r="AD24" s="100"/>
      <c r="AE24" s="100"/>
      <c r="AF24" s="100"/>
      <c r="AG24" s="75"/>
      <c r="AH24" s="75"/>
      <c r="AI24" s="97"/>
      <c r="AJ24" s="97"/>
      <c r="AK24" s="97"/>
      <c r="AL24" s="57"/>
      <c r="AM24" s="73"/>
      <c r="AN24" s="96"/>
      <c r="AO24" s="96"/>
      <c r="AP24" s="73"/>
      <c r="AQ24" s="96"/>
      <c r="AR24" s="96"/>
      <c r="AS24" s="98"/>
      <c r="AT24" s="98"/>
      <c r="AU24" s="98"/>
      <c r="AV24" s="98"/>
      <c r="AW24" s="98"/>
      <c r="AX24" s="98"/>
      <c r="AY24" s="98"/>
      <c r="AZ24" s="98"/>
    </row>
    <row r="25" spans="1:53" s="19" customFormat="1" ht="12.75" x14ac:dyDescent="0.2">
      <c r="A25" s="245" t="s">
        <v>45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54">
        <f>SUM(AM24:AM24)</f>
        <v>0</v>
      </c>
      <c r="AN25" s="255"/>
      <c r="AO25" s="264"/>
      <c r="AP25" s="247"/>
      <c r="AQ25" s="247"/>
      <c r="AR25" s="247"/>
    </row>
    <row r="30" spans="1:53" ht="15" x14ac:dyDescent="0.2">
      <c r="V30" s="67" t="s">
        <v>46</v>
      </c>
      <c r="W30" s="11"/>
      <c r="X30" s="66"/>
      <c r="Y30" s="21"/>
      <c r="Z30" s="21"/>
      <c r="AA30" s="21"/>
      <c r="AB30" s="21"/>
      <c r="AC30" s="21"/>
      <c r="AD30" s="21"/>
      <c r="AE30" s="21"/>
      <c r="AF30" s="21"/>
      <c r="AG30" s="12" t="s">
        <v>47</v>
      </c>
      <c r="AI30" s="21"/>
      <c r="AJ30" s="51"/>
      <c r="AK30" s="21"/>
      <c r="AL30" s="59"/>
      <c r="AM30" s="39"/>
      <c r="AN30" s="23"/>
      <c r="AO30" s="23"/>
      <c r="AP30" s="39"/>
      <c r="AQ30" s="22"/>
      <c r="AR30" s="24" t="s">
        <v>48</v>
      </c>
      <c r="AS30" s="25"/>
      <c r="AU30" s="26"/>
      <c r="AV30" s="27"/>
      <c r="AW30" s="27"/>
      <c r="AX30" s="27"/>
      <c r="AY30" s="26"/>
      <c r="AZ30" s="26"/>
      <c r="BA30" s="26"/>
    </row>
    <row r="31" spans="1:53" ht="15" x14ac:dyDescent="0.2">
      <c r="V31" s="67"/>
      <c r="W31" s="11"/>
      <c r="X31" s="67"/>
      <c r="Y31" s="11"/>
      <c r="Z31" s="11"/>
      <c r="AA31" s="11"/>
      <c r="AB31" s="11"/>
      <c r="AC31" s="11"/>
      <c r="AD31" s="11"/>
      <c r="AE31" s="22"/>
      <c r="AF31" s="22"/>
      <c r="AG31" s="27"/>
      <c r="AI31" s="21"/>
      <c r="AJ31" s="52"/>
      <c r="AK31" s="21"/>
      <c r="AL31" s="59"/>
      <c r="AM31" s="39"/>
      <c r="AN31" s="23"/>
      <c r="AO31" s="23"/>
      <c r="AP31" s="39"/>
      <c r="AQ31" s="22"/>
      <c r="AR31" s="11"/>
      <c r="AS31" s="25"/>
      <c r="AU31" s="28"/>
      <c r="AV31" s="11"/>
      <c r="AW31" s="11"/>
      <c r="AX31" s="11"/>
      <c r="AY31" s="11"/>
      <c r="AZ31" s="11"/>
      <c r="BA31" s="11"/>
    </row>
    <row r="32" spans="1:53" ht="15" x14ac:dyDescent="0.2">
      <c r="V32" s="67"/>
      <c r="W32" s="11"/>
      <c r="X32" s="67"/>
      <c r="Y32" s="11"/>
      <c r="Z32" s="11"/>
      <c r="AA32" s="11"/>
      <c r="AB32" s="11"/>
      <c r="AC32" s="11"/>
      <c r="AD32" s="11"/>
      <c r="AE32" s="11"/>
      <c r="AF32" s="11"/>
      <c r="AG32" s="25"/>
      <c r="AI32" s="21"/>
      <c r="AJ32" s="51"/>
      <c r="AK32" s="21"/>
      <c r="AL32" s="59"/>
      <c r="AM32" s="39"/>
      <c r="AN32" s="23"/>
      <c r="AO32" s="23"/>
      <c r="AP32" s="39"/>
      <c r="AQ32" s="22"/>
      <c r="AR32" s="11"/>
      <c r="AS32" s="25"/>
      <c r="AU32" s="28"/>
      <c r="AV32" s="11"/>
      <c r="AW32" s="11"/>
      <c r="AX32" s="11"/>
      <c r="AY32" s="11"/>
      <c r="AZ32" s="11"/>
      <c r="BA32" s="11"/>
    </row>
    <row r="33" spans="22:53" ht="15" x14ac:dyDescent="0.2">
      <c r="V33" s="65" t="s">
        <v>178</v>
      </c>
      <c r="AG33" s="20" t="s">
        <v>180</v>
      </c>
      <c r="AI33" s="21"/>
      <c r="AJ33" s="51"/>
      <c r="AK33" s="21"/>
      <c r="AL33" s="59"/>
      <c r="AM33" s="39"/>
      <c r="AN33" s="23"/>
      <c r="AO33" s="23"/>
      <c r="AP33" s="39"/>
      <c r="AQ33" s="22"/>
      <c r="AR33" s="21" t="s">
        <v>50</v>
      </c>
      <c r="AS33" s="25"/>
      <c r="AU33" s="28"/>
      <c r="AV33" s="21"/>
      <c r="AW33" s="21"/>
      <c r="AX33" s="21"/>
      <c r="AY33" s="21"/>
      <c r="AZ33" s="21"/>
      <c r="BA33" s="21"/>
    </row>
    <row r="34" spans="22:53" x14ac:dyDescent="0.2">
      <c r="V34" s="65" t="s">
        <v>177</v>
      </c>
      <c r="AG34" s="20" t="s">
        <v>181</v>
      </c>
    </row>
    <row r="35" spans="22:53" x14ac:dyDescent="0.2">
      <c r="V35" s="65" t="s">
        <v>179</v>
      </c>
      <c r="AG35" s="20" t="s">
        <v>182</v>
      </c>
    </row>
  </sheetData>
  <mergeCells count="29">
    <mergeCell ref="A21:AL21"/>
    <mergeCell ref="AM21:AR21"/>
    <mergeCell ref="A25:AL25"/>
    <mergeCell ref="AM25:AO25"/>
    <mergeCell ref="AP25:AR25"/>
    <mergeCell ref="A19:AL19"/>
    <mergeCell ref="AM19:AO19"/>
    <mergeCell ref="AP19:AR19"/>
    <mergeCell ref="A20:AL20"/>
    <mergeCell ref="AM20:AO20"/>
    <mergeCell ref="AP20:AR20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51</v>
      </c>
      <c r="B1" s="1" t="s">
        <v>52</v>
      </c>
      <c r="C1" s="1" t="s">
        <v>53</v>
      </c>
    </row>
    <row r="2" spans="1:3" x14ac:dyDescent="0.2">
      <c r="A2" s="1" t="s">
        <v>54</v>
      </c>
      <c r="B2" s="1" t="s">
        <v>55</v>
      </c>
      <c r="C2" s="1" t="s">
        <v>56</v>
      </c>
    </row>
    <row r="3" spans="1:3" x14ac:dyDescent="0.2">
      <c r="A3" s="1" t="s">
        <v>57</v>
      </c>
      <c r="B3" s="1" t="s">
        <v>58</v>
      </c>
    </row>
    <row r="4" spans="1:3" x14ac:dyDescent="0.2">
      <c r="A4" s="1" t="s">
        <v>59</v>
      </c>
      <c r="B4" s="1" t="s">
        <v>60</v>
      </c>
    </row>
    <row r="5" spans="1:3" x14ac:dyDescent="0.2">
      <c r="A5" s="1" t="s">
        <v>61</v>
      </c>
      <c r="B5" s="1" t="s">
        <v>62</v>
      </c>
    </row>
    <row r="6" spans="1:3" x14ac:dyDescent="0.2">
      <c r="A6" s="1" t="s">
        <v>63</v>
      </c>
      <c r="B6" s="1" t="s">
        <v>64</v>
      </c>
    </row>
    <row r="7" spans="1:3" x14ac:dyDescent="0.2">
      <c r="A7" s="1" t="s">
        <v>65</v>
      </c>
    </row>
    <row r="8" spans="1:3" x14ac:dyDescent="0.2">
      <c r="A8" s="1" t="s">
        <v>66</v>
      </c>
    </row>
    <row r="9" spans="1:3" x14ac:dyDescent="0.2">
      <c r="A9" s="1" t="s">
        <v>67</v>
      </c>
    </row>
    <row r="10" spans="1:3" x14ac:dyDescent="0.2">
      <c r="A10" s="1" t="s">
        <v>68</v>
      </c>
    </row>
    <row r="11" spans="1:3" x14ac:dyDescent="0.2">
      <c r="A11" s="1" t="s">
        <v>69</v>
      </c>
    </row>
    <row r="12" spans="1:3" x14ac:dyDescent="0.2">
      <c r="A12" s="1" t="s">
        <v>70</v>
      </c>
    </row>
    <row r="13" spans="1:3" x14ac:dyDescent="0.2">
      <c r="A13" s="1" t="s">
        <v>71</v>
      </c>
    </row>
    <row r="14" spans="1:3" x14ac:dyDescent="0.2">
      <c r="A14" s="1" t="s">
        <v>72</v>
      </c>
    </row>
    <row r="15" spans="1:3" x14ac:dyDescent="0.2">
      <c r="A15" s="1" t="s">
        <v>73</v>
      </c>
    </row>
    <row r="16" spans="1:3" x14ac:dyDescent="0.2">
      <c r="A16" s="1" t="s">
        <v>74</v>
      </c>
    </row>
    <row r="17" spans="1:1" x14ac:dyDescent="0.2">
      <c r="A17" s="1" t="s">
        <v>75</v>
      </c>
    </row>
    <row r="18" spans="1:1" x14ac:dyDescent="0.2">
      <c r="A18" s="1" t="s">
        <v>76</v>
      </c>
    </row>
    <row r="19" spans="1:1" x14ac:dyDescent="0.2">
      <c r="A19" s="1" t="s">
        <v>77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6"/>
  <sheetViews>
    <sheetView topLeftCell="A4" workbookViewId="0">
      <selection activeCell="AM36" sqref="AM36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0" style="20" customWidth="1"/>
    <col min="23" max="23" width="13.42578125" style="20" customWidth="1"/>
    <col min="24" max="24" width="12.5703125" style="65" customWidth="1"/>
    <col min="25" max="25" width="17.42578125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.85546875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229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119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02" customFormat="1" ht="12.6" customHeight="1" x14ac:dyDescent="0.2">
      <c r="A9" s="72" t="s">
        <v>146</v>
      </c>
      <c r="B9" s="72" t="s">
        <v>121</v>
      </c>
      <c r="C9" s="98"/>
      <c r="D9" s="98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8"/>
      <c r="R9" s="98"/>
      <c r="S9" s="98"/>
      <c r="T9" s="73">
        <f>270000+100000</f>
        <v>370000</v>
      </c>
      <c r="U9" s="99"/>
      <c r="V9" s="116" t="s">
        <v>168</v>
      </c>
      <c r="W9" s="2"/>
      <c r="X9" s="2">
        <v>53.9</v>
      </c>
      <c r="Y9" s="46"/>
      <c r="Z9" s="100"/>
      <c r="AA9" s="98"/>
      <c r="AB9" s="98"/>
      <c r="AC9" s="100"/>
      <c r="AD9" s="100"/>
      <c r="AE9" s="100"/>
      <c r="AF9" s="100"/>
      <c r="AG9" s="75">
        <v>44648</v>
      </c>
      <c r="AH9" s="75">
        <v>44648</v>
      </c>
      <c r="AI9" s="77">
        <v>44663</v>
      </c>
      <c r="AJ9" s="79">
        <v>44669</v>
      </c>
      <c r="AK9" s="81">
        <v>44669</v>
      </c>
      <c r="AL9" s="57" t="s">
        <v>31</v>
      </c>
      <c r="AM9" s="73">
        <f>270000+100000</f>
        <v>370000</v>
      </c>
      <c r="AN9" s="96"/>
      <c r="AO9" s="96"/>
      <c r="AP9" s="73">
        <v>368770</v>
      </c>
      <c r="AQ9" s="96"/>
      <c r="AR9" s="96"/>
      <c r="AS9" s="98"/>
      <c r="AT9" s="98"/>
      <c r="AU9" s="98"/>
      <c r="AV9" s="98"/>
      <c r="AW9" s="98"/>
      <c r="AX9" s="98"/>
      <c r="AY9" s="98"/>
      <c r="AZ9" s="101"/>
    </row>
    <row r="10" spans="1:52" s="19" customFormat="1" ht="12.6" customHeight="1" x14ac:dyDescent="0.2">
      <c r="A10" s="72" t="s">
        <v>145</v>
      </c>
      <c r="B10" s="72" t="s">
        <v>118</v>
      </c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0"/>
      <c r="R10" s="40"/>
      <c r="S10" s="40"/>
      <c r="T10" s="73">
        <v>179000</v>
      </c>
      <c r="U10" s="41"/>
      <c r="V10" s="116" t="s">
        <v>168</v>
      </c>
      <c r="W10" s="42"/>
      <c r="X10" s="2">
        <v>53.9</v>
      </c>
      <c r="Y10" s="113"/>
      <c r="Z10" s="43"/>
      <c r="AA10" s="40"/>
      <c r="AB10" s="40"/>
      <c r="AC10" s="43"/>
      <c r="AD10" s="43"/>
      <c r="AE10" s="43"/>
      <c r="AF10" s="43"/>
      <c r="AG10" s="75">
        <v>44649</v>
      </c>
      <c r="AH10" s="75">
        <v>44649</v>
      </c>
      <c r="AI10" s="77">
        <v>44664</v>
      </c>
      <c r="AJ10" s="79">
        <v>44671</v>
      </c>
      <c r="AK10" s="81">
        <v>44671</v>
      </c>
      <c r="AL10" s="57" t="s">
        <v>31</v>
      </c>
      <c r="AM10" s="73">
        <v>179000</v>
      </c>
      <c r="AN10" s="96"/>
      <c r="AO10" s="96"/>
      <c r="AP10" s="73">
        <v>177950</v>
      </c>
      <c r="AQ10" s="44"/>
      <c r="AR10" s="114"/>
      <c r="AS10" s="98"/>
      <c r="AT10" s="98"/>
      <c r="AU10" s="98"/>
      <c r="AV10" s="98"/>
      <c r="AW10" s="98"/>
      <c r="AX10" s="98"/>
      <c r="AY10" s="98"/>
      <c r="AZ10" s="115"/>
    </row>
    <row r="11" spans="1:52" s="19" customFormat="1" ht="12.6" customHeight="1" x14ac:dyDescent="0.2">
      <c r="A11" s="72" t="s">
        <v>145</v>
      </c>
      <c r="B11" s="72" t="s">
        <v>118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0"/>
      <c r="R11" s="40"/>
      <c r="S11" s="40"/>
      <c r="T11" s="73">
        <v>97000</v>
      </c>
      <c r="U11" s="41"/>
      <c r="V11" s="116" t="s">
        <v>168</v>
      </c>
      <c r="W11" s="42"/>
      <c r="X11" s="2">
        <v>53.9</v>
      </c>
      <c r="Y11" s="113"/>
      <c r="Z11" s="43"/>
      <c r="AA11" s="40"/>
      <c r="AB11" s="40"/>
      <c r="AC11" s="43"/>
      <c r="AD11" s="43"/>
      <c r="AE11" s="43"/>
      <c r="AF11" s="43"/>
      <c r="AG11" s="75">
        <v>44712</v>
      </c>
      <c r="AH11" s="75">
        <v>44712</v>
      </c>
      <c r="AI11" s="77">
        <v>44754</v>
      </c>
      <c r="AJ11" s="79">
        <v>44761</v>
      </c>
      <c r="AK11" s="81">
        <v>44761</v>
      </c>
      <c r="AL11" s="57" t="s">
        <v>31</v>
      </c>
      <c r="AM11" s="73">
        <v>97000</v>
      </c>
      <c r="AN11" s="96"/>
      <c r="AO11" s="96"/>
      <c r="AP11" s="73">
        <v>95920</v>
      </c>
      <c r="AQ11" s="44"/>
      <c r="AR11" s="114"/>
      <c r="AS11" s="98"/>
      <c r="AT11" s="98"/>
      <c r="AU11" s="98"/>
      <c r="AV11" s="98"/>
      <c r="AW11" s="98"/>
      <c r="AX11" s="98"/>
      <c r="AY11" s="98"/>
      <c r="AZ11" s="115"/>
    </row>
    <row r="12" spans="1:52" s="19" customFormat="1" ht="12.6" customHeight="1" x14ac:dyDescent="0.2">
      <c r="A12" s="72" t="s">
        <v>147</v>
      </c>
      <c r="B12" s="72" t="s">
        <v>119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/>
      <c r="S12" s="40"/>
      <c r="T12" s="73">
        <v>9000</v>
      </c>
      <c r="U12" s="41"/>
      <c r="V12" s="116" t="s">
        <v>168</v>
      </c>
      <c r="W12" s="42"/>
      <c r="X12" s="2">
        <v>53.9</v>
      </c>
      <c r="Y12" s="113"/>
      <c r="Z12" s="43"/>
      <c r="AA12" s="40"/>
      <c r="AB12" s="40"/>
      <c r="AC12" s="43"/>
      <c r="AD12" s="43"/>
      <c r="AE12" s="43"/>
      <c r="AF12" s="43"/>
      <c r="AG12" s="76">
        <v>44708</v>
      </c>
      <c r="AH12" s="76">
        <v>44708</v>
      </c>
      <c r="AI12" s="77">
        <v>44783</v>
      </c>
      <c r="AJ12" s="79">
        <v>44790</v>
      </c>
      <c r="AK12" s="81">
        <v>44790</v>
      </c>
      <c r="AL12" s="57" t="s">
        <v>31</v>
      </c>
      <c r="AM12" s="73">
        <v>9000</v>
      </c>
      <c r="AN12" s="96"/>
      <c r="AO12" s="96"/>
      <c r="AP12" s="73">
        <v>8520</v>
      </c>
      <c r="AQ12" s="44"/>
      <c r="AR12" s="114"/>
      <c r="AS12" s="98"/>
      <c r="AT12" s="98"/>
      <c r="AU12" s="98"/>
      <c r="AV12" s="98"/>
      <c r="AW12" s="98"/>
      <c r="AX12" s="98"/>
      <c r="AY12" s="98"/>
      <c r="AZ12" s="115"/>
    </row>
    <row r="13" spans="1:52" s="19" customFormat="1" ht="12.6" customHeight="1" x14ac:dyDescent="0.2">
      <c r="A13" s="72" t="s">
        <v>140</v>
      </c>
      <c r="B13" s="72" t="s">
        <v>115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0"/>
      <c r="R13" s="40"/>
      <c r="S13" s="40"/>
      <c r="T13" s="73">
        <v>10000</v>
      </c>
      <c r="U13" s="41"/>
      <c r="V13" s="116" t="s">
        <v>168</v>
      </c>
      <c r="W13" s="42"/>
      <c r="X13" s="2">
        <v>53.9</v>
      </c>
      <c r="Y13" s="113"/>
      <c r="Z13" s="43"/>
      <c r="AA13" s="40"/>
      <c r="AB13" s="40"/>
      <c r="AC13" s="43"/>
      <c r="AD13" s="43"/>
      <c r="AE13" s="43"/>
      <c r="AF13" s="43"/>
      <c r="AG13" s="76">
        <v>44657</v>
      </c>
      <c r="AH13" s="76">
        <v>44657</v>
      </c>
      <c r="AI13" s="77">
        <v>44755</v>
      </c>
      <c r="AJ13" s="79">
        <v>44762</v>
      </c>
      <c r="AK13" s="81">
        <v>44762</v>
      </c>
      <c r="AL13" s="57" t="s">
        <v>31</v>
      </c>
      <c r="AM13" s="73">
        <v>10000</v>
      </c>
      <c r="AN13" s="96"/>
      <c r="AO13" s="96"/>
      <c r="AP13" s="73">
        <v>9550</v>
      </c>
      <c r="AQ13" s="44"/>
      <c r="AR13" s="114"/>
      <c r="AS13" s="98"/>
      <c r="AT13" s="98"/>
      <c r="AU13" s="98"/>
      <c r="AV13" s="98"/>
      <c r="AW13" s="98"/>
      <c r="AX13" s="98"/>
      <c r="AY13" s="98"/>
      <c r="AZ13" s="115"/>
    </row>
    <row r="14" spans="1:52" s="19" customFormat="1" ht="12.6" customHeight="1" x14ac:dyDescent="0.2">
      <c r="A14" s="72" t="s">
        <v>144</v>
      </c>
      <c r="B14" s="72" t="s">
        <v>126</v>
      </c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0"/>
      <c r="R14" s="40"/>
      <c r="S14" s="40"/>
      <c r="T14" s="73">
        <v>350000</v>
      </c>
      <c r="U14" s="41"/>
      <c r="V14" s="116" t="s">
        <v>168</v>
      </c>
      <c r="W14" s="42"/>
      <c r="X14" s="2">
        <v>53.9</v>
      </c>
      <c r="Y14" s="113"/>
      <c r="Z14" s="43"/>
      <c r="AA14" s="40"/>
      <c r="AB14" s="40"/>
      <c r="AC14" s="43"/>
      <c r="AD14" s="43"/>
      <c r="AE14" s="43"/>
      <c r="AF14" s="43"/>
      <c r="AG14" s="76">
        <v>44712</v>
      </c>
      <c r="AH14" s="76">
        <v>44712</v>
      </c>
      <c r="AI14" s="77">
        <v>44756</v>
      </c>
      <c r="AJ14" s="79">
        <v>44763</v>
      </c>
      <c r="AK14" s="81">
        <v>44763</v>
      </c>
      <c r="AL14" s="57" t="s">
        <v>31</v>
      </c>
      <c r="AM14" s="73">
        <v>350000</v>
      </c>
      <c r="AN14" s="96"/>
      <c r="AO14" s="96"/>
      <c r="AP14" s="73">
        <v>348455</v>
      </c>
      <c r="AQ14" s="44"/>
      <c r="AR14" s="114"/>
      <c r="AS14" s="98"/>
      <c r="AT14" s="98"/>
      <c r="AU14" s="98"/>
      <c r="AV14" s="98"/>
      <c r="AW14" s="98"/>
      <c r="AX14" s="98"/>
      <c r="AY14" s="98"/>
      <c r="AZ14" s="115"/>
    </row>
    <row r="15" spans="1:52" s="19" customFormat="1" ht="12.6" customHeight="1" x14ac:dyDescent="0.2">
      <c r="A15" s="72" t="s">
        <v>146</v>
      </c>
      <c r="B15" s="72" t="s">
        <v>121</v>
      </c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0"/>
      <c r="R15" s="40"/>
      <c r="S15" s="40"/>
      <c r="T15" s="73">
        <f>102920+65000</f>
        <v>167920</v>
      </c>
      <c r="U15" s="41"/>
      <c r="V15" s="116" t="s">
        <v>168</v>
      </c>
      <c r="W15" s="42"/>
      <c r="X15" s="2">
        <v>53.9</v>
      </c>
      <c r="Y15" s="113"/>
      <c r="Z15" s="43"/>
      <c r="AA15" s="40"/>
      <c r="AB15" s="40"/>
      <c r="AC15" s="43"/>
      <c r="AD15" s="43"/>
      <c r="AE15" s="43"/>
      <c r="AF15" s="43"/>
      <c r="AG15" s="75">
        <v>44712</v>
      </c>
      <c r="AH15" s="75">
        <v>44712</v>
      </c>
      <c r="AI15" s="77">
        <v>44767</v>
      </c>
      <c r="AJ15" s="79">
        <v>44774</v>
      </c>
      <c r="AK15" s="81">
        <v>44774</v>
      </c>
      <c r="AL15" s="57" t="s">
        <v>31</v>
      </c>
      <c r="AM15" s="73">
        <f>102920+65000</f>
        <v>167920</v>
      </c>
      <c r="AN15" s="96"/>
      <c r="AO15" s="96"/>
      <c r="AP15" s="73">
        <f>102547+64313</f>
        <v>166860</v>
      </c>
      <c r="AQ15" s="44"/>
      <c r="AR15" s="114"/>
      <c r="AS15" s="98"/>
      <c r="AT15" s="98"/>
      <c r="AU15" s="98"/>
      <c r="AV15" s="98"/>
      <c r="AW15" s="98"/>
      <c r="AX15" s="98"/>
      <c r="AY15" s="98"/>
      <c r="AZ15" s="115"/>
    </row>
    <row r="16" spans="1:52" s="19" customFormat="1" ht="12.6" customHeight="1" x14ac:dyDescent="0.2">
      <c r="A16" s="72" t="s">
        <v>145</v>
      </c>
      <c r="B16" s="72" t="s">
        <v>118</v>
      </c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0"/>
      <c r="R16" s="40"/>
      <c r="S16" s="40"/>
      <c r="T16" s="73">
        <v>87000</v>
      </c>
      <c r="U16" s="41"/>
      <c r="V16" s="116" t="s">
        <v>168</v>
      </c>
      <c r="W16" s="42"/>
      <c r="X16" s="2">
        <v>53.9</v>
      </c>
      <c r="Y16" s="113"/>
      <c r="Z16" s="43"/>
      <c r="AA16" s="40"/>
      <c r="AB16" s="40"/>
      <c r="AC16" s="43"/>
      <c r="AD16" s="43"/>
      <c r="AE16" s="43"/>
      <c r="AF16" s="43"/>
      <c r="AG16" s="75">
        <v>44806</v>
      </c>
      <c r="AH16" s="75">
        <v>44806</v>
      </c>
      <c r="AI16" s="77">
        <v>44832</v>
      </c>
      <c r="AJ16" s="77">
        <v>44839</v>
      </c>
      <c r="AK16" s="81">
        <v>44839</v>
      </c>
      <c r="AL16" s="57" t="s">
        <v>31</v>
      </c>
      <c r="AM16" s="73">
        <v>87000</v>
      </c>
      <c r="AN16" s="96"/>
      <c r="AO16" s="96"/>
      <c r="AP16" s="73">
        <v>85900</v>
      </c>
      <c r="AQ16" s="44"/>
      <c r="AR16" s="114"/>
      <c r="AS16" s="98"/>
      <c r="AT16" s="98"/>
      <c r="AU16" s="98"/>
      <c r="AV16" s="98"/>
      <c r="AW16" s="98"/>
      <c r="AX16" s="98"/>
      <c r="AY16" s="98"/>
      <c r="AZ16" s="115"/>
    </row>
    <row r="17" spans="1:52" s="19" customFormat="1" ht="12.6" customHeight="1" x14ac:dyDescent="0.2">
      <c r="A17" s="72" t="s">
        <v>146</v>
      </c>
      <c r="B17" s="72" t="s">
        <v>211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0"/>
      <c r="R17" s="40"/>
      <c r="S17" s="40"/>
      <c r="T17" s="73">
        <v>70000</v>
      </c>
      <c r="U17" s="41"/>
      <c r="V17" s="116" t="s">
        <v>168</v>
      </c>
      <c r="W17" s="42"/>
      <c r="X17" s="2">
        <v>53.9</v>
      </c>
      <c r="Y17" s="113"/>
      <c r="Z17" s="43"/>
      <c r="AA17" s="40"/>
      <c r="AB17" s="40"/>
      <c r="AC17" s="43"/>
      <c r="AD17" s="43"/>
      <c r="AE17" s="43"/>
      <c r="AF17" s="43"/>
      <c r="AG17" s="75">
        <v>44806</v>
      </c>
      <c r="AH17" s="75">
        <v>44806</v>
      </c>
      <c r="AI17" s="77">
        <v>44852</v>
      </c>
      <c r="AJ17" s="77">
        <v>44859</v>
      </c>
      <c r="AK17" s="81">
        <v>44859</v>
      </c>
      <c r="AL17" s="57" t="s">
        <v>31</v>
      </c>
      <c r="AM17" s="73">
        <v>70000</v>
      </c>
      <c r="AN17" s="96"/>
      <c r="AO17" s="96"/>
      <c r="AP17" s="73">
        <v>68770</v>
      </c>
      <c r="AQ17" s="44"/>
      <c r="AR17" s="114"/>
      <c r="AS17" s="98"/>
      <c r="AT17" s="98"/>
      <c r="AU17" s="98"/>
      <c r="AV17" s="98"/>
      <c r="AW17" s="98"/>
      <c r="AX17" s="98"/>
      <c r="AY17" s="98"/>
      <c r="AZ17" s="115"/>
    </row>
    <row r="18" spans="1:52" s="19" customFormat="1" ht="12.6" customHeight="1" x14ac:dyDescent="0.2">
      <c r="A18" s="72" t="s">
        <v>143</v>
      </c>
      <c r="B18" s="72" t="s">
        <v>117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40"/>
      <c r="S18" s="40"/>
      <c r="T18" s="73">
        <v>137920</v>
      </c>
      <c r="U18" s="41"/>
      <c r="V18" s="116" t="s">
        <v>168</v>
      </c>
      <c r="W18" s="42"/>
      <c r="X18" s="2">
        <v>53.9</v>
      </c>
      <c r="Y18" s="113"/>
      <c r="Z18" s="43"/>
      <c r="AA18" s="40"/>
      <c r="AB18" s="40"/>
      <c r="AC18" s="43"/>
      <c r="AD18" s="43"/>
      <c r="AE18" s="43"/>
      <c r="AF18" s="43"/>
      <c r="AG18" s="75">
        <v>44806</v>
      </c>
      <c r="AH18" s="75">
        <v>44806</v>
      </c>
      <c r="AI18" s="77">
        <v>44848</v>
      </c>
      <c r="AJ18" s="77">
        <v>44855</v>
      </c>
      <c r="AK18" s="81">
        <v>44855</v>
      </c>
      <c r="AL18" s="57" t="s">
        <v>31</v>
      </c>
      <c r="AM18" s="73">
        <v>137920</v>
      </c>
      <c r="AN18" s="96"/>
      <c r="AO18" s="96"/>
      <c r="AP18" s="73">
        <v>137643</v>
      </c>
      <c r="AQ18" s="44"/>
      <c r="AR18" s="114"/>
      <c r="AS18" s="98"/>
      <c r="AT18" s="98"/>
      <c r="AU18" s="98"/>
      <c r="AV18" s="98"/>
      <c r="AW18" s="98"/>
      <c r="AX18" s="98"/>
      <c r="AY18" s="98"/>
      <c r="AZ18" s="115"/>
    </row>
    <row r="19" spans="1:52" s="19" customFormat="1" ht="12.6" customHeight="1" x14ac:dyDescent="0.2">
      <c r="A19" s="72" t="s">
        <v>137</v>
      </c>
      <c r="B19" s="72" t="s">
        <v>112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40"/>
      <c r="S19" s="40"/>
      <c r="T19" s="73">
        <v>20000</v>
      </c>
      <c r="U19" s="41"/>
      <c r="V19" s="116" t="s">
        <v>168</v>
      </c>
      <c r="W19" s="42"/>
      <c r="X19" s="2">
        <v>53.9</v>
      </c>
      <c r="Y19" s="113"/>
      <c r="Z19" s="43"/>
      <c r="AA19" s="40"/>
      <c r="AB19" s="40"/>
      <c r="AC19" s="43"/>
      <c r="AD19" s="43"/>
      <c r="AE19" s="43"/>
      <c r="AF19" s="43"/>
      <c r="AG19" s="75">
        <v>44806</v>
      </c>
      <c r="AH19" s="75">
        <v>44806</v>
      </c>
      <c r="AI19" s="77">
        <v>44848</v>
      </c>
      <c r="AJ19" s="77">
        <v>44855</v>
      </c>
      <c r="AK19" s="81">
        <v>44855</v>
      </c>
      <c r="AL19" s="57" t="s">
        <v>31</v>
      </c>
      <c r="AM19" s="73">
        <v>20000</v>
      </c>
      <c r="AN19" s="96"/>
      <c r="AO19" s="96"/>
      <c r="AP19" s="73">
        <v>19050</v>
      </c>
      <c r="AQ19" s="44"/>
      <c r="AR19" s="114"/>
      <c r="AS19" s="98"/>
      <c r="AT19" s="98"/>
      <c r="AU19" s="98"/>
      <c r="AV19" s="98"/>
      <c r="AW19" s="98"/>
      <c r="AX19" s="98"/>
      <c r="AY19" s="98"/>
      <c r="AZ19" s="115"/>
    </row>
    <row r="20" spans="1:52" s="19" customFormat="1" ht="12.6" customHeight="1" x14ac:dyDescent="0.2">
      <c r="A20" s="72" t="s">
        <v>144</v>
      </c>
      <c r="B20" s="72" t="s">
        <v>213</v>
      </c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0"/>
      <c r="S20" s="40"/>
      <c r="T20" s="73">
        <v>70000</v>
      </c>
      <c r="U20" s="41"/>
      <c r="V20" s="116" t="s">
        <v>168</v>
      </c>
      <c r="W20" s="42"/>
      <c r="X20" s="2">
        <v>53.9</v>
      </c>
      <c r="Y20" s="113"/>
      <c r="Z20" s="43"/>
      <c r="AA20" s="40"/>
      <c r="AB20" s="40"/>
      <c r="AC20" s="43"/>
      <c r="AD20" s="43"/>
      <c r="AE20" s="43"/>
      <c r="AF20" s="43"/>
      <c r="AG20" s="75">
        <v>44832</v>
      </c>
      <c r="AH20" s="75">
        <v>44832</v>
      </c>
      <c r="AI20" s="77">
        <v>44873</v>
      </c>
      <c r="AJ20" s="77">
        <v>44878</v>
      </c>
      <c r="AK20" s="81">
        <v>44878</v>
      </c>
      <c r="AL20" s="57" t="s">
        <v>31</v>
      </c>
      <c r="AM20" s="73">
        <v>70000</v>
      </c>
      <c r="AN20" s="96"/>
      <c r="AO20" s="96"/>
      <c r="AP20" s="73">
        <v>69440</v>
      </c>
      <c r="AQ20" s="44"/>
      <c r="AR20" s="114"/>
      <c r="AS20" s="98"/>
      <c r="AT20" s="98"/>
      <c r="AU20" s="98"/>
      <c r="AV20" s="98"/>
      <c r="AW20" s="98"/>
      <c r="AX20" s="98"/>
      <c r="AY20" s="98"/>
      <c r="AZ20" s="115"/>
    </row>
    <row r="21" spans="1:52" s="19" customFormat="1" ht="12.6" customHeight="1" x14ac:dyDescent="0.2">
      <c r="A21" s="72" t="s">
        <v>146</v>
      </c>
      <c r="B21" s="72" t="s">
        <v>217</v>
      </c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/>
      <c r="R21" s="40"/>
      <c r="S21" s="40"/>
      <c r="T21" s="73">
        <v>50000</v>
      </c>
      <c r="U21" s="41"/>
      <c r="V21" s="116" t="s">
        <v>168</v>
      </c>
      <c r="W21" s="42"/>
      <c r="X21" s="2">
        <v>53.9</v>
      </c>
      <c r="Y21" s="113"/>
      <c r="Z21" s="43"/>
      <c r="AA21" s="40"/>
      <c r="AB21" s="40"/>
      <c r="AC21" s="43"/>
      <c r="AD21" s="43"/>
      <c r="AE21" s="43"/>
      <c r="AF21" s="43"/>
      <c r="AG21" s="75">
        <v>44832</v>
      </c>
      <c r="AH21" s="75">
        <v>44832</v>
      </c>
      <c r="AI21" s="75">
        <v>44873</v>
      </c>
      <c r="AJ21" s="75">
        <v>44878</v>
      </c>
      <c r="AK21" s="83">
        <v>44878</v>
      </c>
      <c r="AL21" s="57" t="s">
        <v>31</v>
      </c>
      <c r="AM21" s="73">
        <v>50000</v>
      </c>
      <c r="AN21" s="96"/>
      <c r="AO21" s="96"/>
      <c r="AP21" s="73">
        <v>49450</v>
      </c>
      <c r="AQ21" s="44"/>
      <c r="AR21" s="114"/>
      <c r="AS21" s="98"/>
      <c r="AT21" s="98"/>
      <c r="AU21" s="98"/>
      <c r="AV21" s="98"/>
      <c r="AW21" s="98"/>
      <c r="AX21" s="98"/>
      <c r="AY21" s="98"/>
      <c r="AZ21" s="115"/>
    </row>
    <row r="22" spans="1:52" ht="12.75" x14ac:dyDescent="0.2">
      <c r="A22" s="248" t="s">
        <v>41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6">
        <f>SUM(AM9:AM21)</f>
        <v>1617840</v>
      </c>
      <c r="AN22" s="246"/>
      <c r="AO22" s="246"/>
      <c r="AP22" s="249"/>
      <c r="AQ22" s="250"/>
      <c r="AR22" s="251"/>
      <c r="AS22" s="103"/>
      <c r="AT22" s="103"/>
      <c r="AU22" s="103"/>
      <c r="AV22" s="103"/>
      <c r="AW22" s="103"/>
      <c r="AX22" s="103"/>
      <c r="AY22" s="103"/>
      <c r="AZ22" s="103"/>
    </row>
    <row r="23" spans="1:52" ht="12.75" x14ac:dyDescent="0.2">
      <c r="A23" s="252" t="s">
        <v>42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3"/>
      <c r="AN23" s="253"/>
      <c r="AO23" s="253"/>
      <c r="AP23" s="254">
        <f>SUM(AP9:AP22)</f>
        <v>1606278</v>
      </c>
      <c r="AQ23" s="255"/>
      <c r="AR23" s="255"/>
      <c r="AS23" s="103"/>
      <c r="AT23" s="103"/>
      <c r="AU23" s="103"/>
      <c r="AV23" s="103"/>
      <c r="AW23" s="103"/>
      <c r="AX23" s="103"/>
      <c r="AY23" s="103"/>
      <c r="AZ23" s="103"/>
    </row>
    <row r="24" spans="1:52" ht="12.75" x14ac:dyDescent="0.2">
      <c r="A24" s="242" t="s">
        <v>43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3">
        <f>AM22-AP23</f>
        <v>11562</v>
      </c>
      <c r="AN24" s="244"/>
      <c r="AO24" s="244"/>
      <c r="AP24" s="244"/>
      <c r="AQ24" s="244"/>
      <c r="AR24" s="244"/>
      <c r="AS24" s="103"/>
      <c r="AT24" s="103"/>
      <c r="AU24" s="103"/>
      <c r="AV24" s="103"/>
      <c r="AW24" s="103"/>
      <c r="AX24" s="103"/>
      <c r="AY24" s="103"/>
      <c r="AZ24" s="103"/>
    </row>
    <row r="25" spans="1:52" ht="15" thickBot="1" x14ac:dyDescent="0.25"/>
    <row r="26" spans="1:52" s="19" customFormat="1" ht="26.25" customHeight="1" x14ac:dyDescent="0.2">
      <c r="A26" s="68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64"/>
      <c r="Y26" s="31"/>
      <c r="Z26" s="31"/>
      <c r="AA26" s="31"/>
      <c r="AB26" s="31"/>
      <c r="AC26" s="31"/>
      <c r="AD26" s="31"/>
      <c r="AE26" s="31"/>
      <c r="AF26" s="31"/>
      <c r="AG26" s="31"/>
      <c r="AH26" s="62"/>
      <c r="AI26" s="31"/>
      <c r="AJ26" s="50"/>
      <c r="AK26" s="31"/>
      <c r="AL26" s="55"/>
      <c r="AM26" s="37"/>
      <c r="AN26" s="31"/>
      <c r="AO26" s="31"/>
      <c r="AP26" s="37"/>
      <c r="AQ26" s="31"/>
      <c r="AR26" s="31"/>
      <c r="AS26" s="31"/>
      <c r="AT26" s="31"/>
      <c r="AU26" s="31"/>
      <c r="AV26" s="31"/>
      <c r="AW26" s="31"/>
      <c r="AX26" s="31"/>
      <c r="AY26" s="31"/>
      <c r="AZ26" s="32"/>
    </row>
    <row r="27" spans="1:52" s="160" customFormat="1" x14ac:dyDescent="0.2">
      <c r="A27" s="72" t="s">
        <v>137</v>
      </c>
      <c r="B27" s="72" t="s">
        <v>112</v>
      </c>
      <c r="C27" s="98"/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8"/>
      <c r="R27" s="98"/>
      <c r="S27" s="98"/>
      <c r="T27" s="73">
        <v>7500</v>
      </c>
      <c r="U27" s="99"/>
      <c r="V27" s="105" t="s">
        <v>168</v>
      </c>
      <c r="W27" s="2"/>
      <c r="X27" s="2">
        <v>53.9</v>
      </c>
      <c r="Y27" s="46"/>
      <c r="Z27" s="100"/>
      <c r="AA27" s="98"/>
      <c r="AB27" s="98"/>
      <c r="AC27" s="100"/>
      <c r="AD27" s="100"/>
      <c r="AE27" s="100"/>
      <c r="AF27" s="100"/>
      <c r="AG27" s="75">
        <v>44832</v>
      </c>
      <c r="AH27" s="107">
        <v>44649</v>
      </c>
      <c r="AI27" s="75">
        <v>44911</v>
      </c>
      <c r="AJ27" s="75">
        <v>44915</v>
      </c>
      <c r="AK27" s="75">
        <v>44915</v>
      </c>
      <c r="AL27" s="57" t="s">
        <v>31</v>
      </c>
      <c r="AM27" s="158">
        <v>7500</v>
      </c>
      <c r="AN27" s="161"/>
      <c r="AO27" s="161"/>
      <c r="AP27" s="73">
        <v>7158</v>
      </c>
      <c r="AQ27" s="96"/>
      <c r="AR27" s="96"/>
      <c r="AS27" s="98"/>
      <c r="AT27" s="98"/>
      <c r="AU27" s="98"/>
      <c r="AV27" s="98"/>
      <c r="AW27" s="98"/>
      <c r="AX27" s="98"/>
      <c r="AY27" s="98"/>
      <c r="AZ27" s="98"/>
    </row>
    <row r="28" spans="1:52" s="19" customFormat="1" ht="12.75" x14ac:dyDescent="0.2">
      <c r="A28" s="245" t="s">
        <v>45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54">
        <f>SUM(AM27:AM27)</f>
        <v>7500</v>
      </c>
      <c r="AN28" s="255"/>
      <c r="AO28" s="264"/>
      <c r="AP28" s="247"/>
      <c r="AQ28" s="247"/>
      <c r="AR28" s="247"/>
    </row>
    <row r="33" spans="22:53" s="61" customFormat="1" ht="15" x14ac:dyDescent="0.2">
      <c r="V33" s="11" t="s">
        <v>46</v>
      </c>
      <c r="W33" s="11"/>
      <c r="X33" s="67"/>
      <c r="Y33" s="11"/>
      <c r="Z33" s="11"/>
      <c r="AA33" s="11"/>
      <c r="AB33" s="11"/>
      <c r="AC33" s="11"/>
      <c r="AD33" s="11"/>
      <c r="AE33" s="11"/>
      <c r="AF33" s="11"/>
      <c r="AG33" s="12" t="s">
        <v>47</v>
      </c>
      <c r="AI33" s="11"/>
      <c r="AJ33" s="52"/>
      <c r="AK33" s="11"/>
      <c r="AL33" s="127"/>
      <c r="AM33" s="128"/>
      <c r="AN33" s="129"/>
      <c r="AO33" s="129"/>
      <c r="AP33" s="128"/>
      <c r="AQ33" s="130"/>
      <c r="AR33" s="24" t="s">
        <v>48</v>
      </c>
      <c r="AS33" s="131"/>
      <c r="AU33" s="132"/>
      <c r="AV33" s="133"/>
      <c r="AW33" s="133"/>
      <c r="AX33" s="133"/>
      <c r="AY33" s="132"/>
      <c r="AZ33" s="132"/>
      <c r="BA33" s="132"/>
    </row>
    <row r="34" spans="22:53" ht="15" x14ac:dyDescent="0.2">
      <c r="V34" s="11"/>
      <c r="W34" s="11"/>
      <c r="X34" s="67"/>
      <c r="Y34" s="11"/>
      <c r="Z34" s="11"/>
      <c r="AA34" s="11"/>
      <c r="AB34" s="11"/>
      <c r="AC34" s="11"/>
      <c r="AD34" s="11"/>
      <c r="AE34" s="22"/>
      <c r="AF34" s="22"/>
      <c r="AG34" s="27"/>
      <c r="AI34" s="21"/>
      <c r="AJ34" s="52"/>
      <c r="AK34" s="21"/>
      <c r="AL34" s="59"/>
      <c r="AM34" s="39"/>
      <c r="AN34" s="23"/>
      <c r="AO34" s="23"/>
      <c r="AP34" s="39"/>
      <c r="AQ34" s="22"/>
      <c r="AR34" s="11"/>
      <c r="AS34" s="25"/>
      <c r="AU34" s="28"/>
      <c r="AV34" s="11"/>
      <c r="AW34" s="11"/>
      <c r="AX34" s="11"/>
      <c r="AY34" s="11"/>
      <c r="AZ34" s="11"/>
      <c r="BA34" s="11"/>
    </row>
    <row r="35" spans="22:53" ht="15" x14ac:dyDescent="0.2">
      <c r="V35" s="11"/>
      <c r="W35" s="11"/>
      <c r="X35" s="67"/>
      <c r="Y35" s="11"/>
      <c r="Z35" s="11"/>
      <c r="AA35" s="11"/>
      <c r="AB35" s="11"/>
      <c r="AC35" s="11"/>
      <c r="AD35" s="11"/>
      <c r="AE35" s="11"/>
      <c r="AF35" s="11"/>
      <c r="AG35" s="25"/>
      <c r="AI35" s="21"/>
      <c r="AJ35" s="51"/>
      <c r="AK35" s="21"/>
      <c r="AL35" s="59"/>
      <c r="AM35" s="39"/>
      <c r="AN35" s="23"/>
      <c r="AO35" s="23"/>
      <c r="AP35" s="39"/>
      <c r="AQ35" s="22"/>
      <c r="AR35" s="11"/>
      <c r="AS35" s="25"/>
      <c r="AU35" s="28"/>
      <c r="AV35" s="11"/>
      <c r="AW35" s="11"/>
      <c r="AX35" s="11"/>
      <c r="AY35" s="11"/>
      <c r="AZ35" s="11"/>
      <c r="BA35" s="11"/>
    </row>
    <row r="36" spans="22:53" ht="15" x14ac:dyDescent="0.2">
      <c r="AI36" s="21"/>
      <c r="AJ36" s="51"/>
      <c r="AK36" s="21"/>
      <c r="AL36" s="59"/>
      <c r="AM36" s="39"/>
      <c r="AN36" s="23"/>
      <c r="AO36" s="23"/>
      <c r="AP36" s="39"/>
      <c r="AQ36" s="22"/>
      <c r="AR36" s="21" t="s">
        <v>50</v>
      </c>
      <c r="AS36" s="25"/>
      <c r="AU36" s="28"/>
      <c r="AV36" s="21"/>
      <c r="AW36" s="21"/>
      <c r="AX36" s="21"/>
      <c r="AY36" s="21"/>
      <c r="AZ36" s="21"/>
      <c r="BA36" s="21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22:AL22"/>
    <mergeCell ref="AM22:AO22"/>
    <mergeCell ref="AP22:AR22"/>
    <mergeCell ref="A23:AL23"/>
    <mergeCell ref="AM23:AO23"/>
    <mergeCell ref="AP23:AR23"/>
    <mergeCell ref="A24:AL24"/>
    <mergeCell ref="AM24:AR24"/>
    <mergeCell ref="A28:AL28"/>
    <mergeCell ref="AM28:AO28"/>
    <mergeCell ref="AP28:AR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143"/>
  <sheetViews>
    <sheetView workbookViewId="0">
      <selection activeCell="AI155" sqref="AI155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6.85546875" style="20" customWidth="1"/>
    <col min="23" max="23" width="13.42578125" style="20" customWidth="1"/>
    <col min="24" max="24" width="13.28515625" style="65" customWidth="1"/>
    <col min="25" max="25" width="17.42578125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230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02" customFormat="1" ht="12.75" customHeight="1" x14ac:dyDescent="0.2">
      <c r="A9" s="72" t="s">
        <v>137</v>
      </c>
      <c r="B9" s="72" t="s">
        <v>112</v>
      </c>
      <c r="C9" s="98"/>
      <c r="D9" s="98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8"/>
      <c r="R9" s="98"/>
      <c r="S9" s="98" t="s">
        <v>31</v>
      </c>
      <c r="T9" s="73">
        <f>10000+45000</f>
        <v>55000</v>
      </c>
      <c r="U9" s="99"/>
      <c r="V9" s="97" t="s">
        <v>162</v>
      </c>
      <c r="W9" s="2"/>
      <c r="X9" s="2">
        <v>53.9</v>
      </c>
      <c r="Y9" s="46"/>
      <c r="Z9" s="100"/>
      <c r="AA9" s="98"/>
      <c r="AB9" s="98"/>
      <c r="AC9" s="100"/>
      <c r="AD9" s="100"/>
      <c r="AE9" s="100"/>
      <c r="AF9" s="100"/>
      <c r="AG9" s="76">
        <v>44656</v>
      </c>
      <c r="AH9" s="76">
        <v>44656</v>
      </c>
      <c r="AI9" s="77">
        <v>44705</v>
      </c>
      <c r="AJ9" s="79">
        <v>44711</v>
      </c>
      <c r="AK9" s="79">
        <v>44711</v>
      </c>
      <c r="AL9" s="57" t="s">
        <v>31</v>
      </c>
      <c r="AM9" s="73">
        <f>10000+45000</f>
        <v>55000</v>
      </c>
      <c r="AN9" s="96"/>
      <c r="AO9" s="96"/>
      <c r="AP9" s="73">
        <f>9643+44730</f>
        <v>54373</v>
      </c>
      <c r="AQ9" s="96"/>
      <c r="AR9" s="96"/>
      <c r="AS9" s="98"/>
      <c r="AT9" s="98"/>
      <c r="AU9" s="98"/>
      <c r="AV9" s="98"/>
      <c r="AW9" s="98"/>
      <c r="AX9" s="98"/>
      <c r="AY9" s="98"/>
      <c r="AZ9" s="101"/>
    </row>
    <row r="10" spans="1:52" s="19" customFormat="1" ht="12.75" customHeight="1" x14ac:dyDescent="0.2">
      <c r="A10" s="72" t="s">
        <v>137</v>
      </c>
      <c r="B10" s="72" t="s">
        <v>112</v>
      </c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0"/>
      <c r="R10" s="40"/>
      <c r="S10" s="98" t="s">
        <v>31</v>
      </c>
      <c r="T10" s="73">
        <v>20000</v>
      </c>
      <c r="U10" s="41"/>
      <c r="V10" s="97" t="s">
        <v>162</v>
      </c>
      <c r="W10" s="42"/>
      <c r="X10" s="2">
        <v>53.9</v>
      </c>
      <c r="Y10" s="113"/>
      <c r="Z10" s="43"/>
      <c r="AA10" s="40"/>
      <c r="AB10" s="40"/>
      <c r="AC10" s="43"/>
      <c r="AD10" s="43"/>
      <c r="AE10" s="43"/>
      <c r="AF10" s="43"/>
      <c r="AG10" s="75">
        <v>44726</v>
      </c>
      <c r="AH10" s="75">
        <v>44726</v>
      </c>
      <c r="AI10" s="77">
        <v>44812</v>
      </c>
      <c r="AJ10" s="79">
        <v>44819</v>
      </c>
      <c r="AK10" s="79">
        <v>44819</v>
      </c>
      <c r="AL10" s="57" t="s">
        <v>31</v>
      </c>
      <c r="AM10" s="73">
        <v>20000</v>
      </c>
      <c r="AN10" s="96"/>
      <c r="AO10" s="96"/>
      <c r="AP10" s="73">
        <v>19286</v>
      </c>
      <c r="AQ10" s="44"/>
      <c r="AR10" s="114"/>
      <c r="AS10" s="98"/>
      <c r="AT10" s="98"/>
      <c r="AU10" s="98"/>
      <c r="AV10" s="98"/>
      <c r="AW10" s="98"/>
      <c r="AX10" s="98"/>
      <c r="AY10" s="98"/>
      <c r="AZ10" s="115"/>
    </row>
    <row r="11" spans="1:52" s="19" customFormat="1" ht="12.75" customHeight="1" x14ac:dyDescent="0.2">
      <c r="A11" s="72" t="s">
        <v>143</v>
      </c>
      <c r="B11" s="72" t="s">
        <v>117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0"/>
      <c r="R11" s="40"/>
      <c r="S11" s="98" t="s">
        <v>31</v>
      </c>
      <c r="T11" s="73">
        <v>180800</v>
      </c>
      <c r="U11" s="41"/>
      <c r="V11" s="97" t="s">
        <v>162</v>
      </c>
      <c r="W11" s="42"/>
      <c r="X11" s="2">
        <v>53.9</v>
      </c>
      <c r="Y11" s="113"/>
      <c r="Z11" s="43"/>
      <c r="AA11" s="40"/>
      <c r="AB11" s="40"/>
      <c r="AC11" s="43"/>
      <c r="AD11" s="43"/>
      <c r="AE11" s="43"/>
      <c r="AF11" s="43"/>
      <c r="AG11" s="75">
        <v>44749</v>
      </c>
      <c r="AH11" s="75">
        <v>44749</v>
      </c>
      <c r="AI11" s="77">
        <v>44812</v>
      </c>
      <c r="AJ11" s="77">
        <v>44819</v>
      </c>
      <c r="AK11" s="77">
        <v>44819</v>
      </c>
      <c r="AL11" s="57" t="s">
        <v>31</v>
      </c>
      <c r="AM11" s="73">
        <v>180800</v>
      </c>
      <c r="AN11" s="96"/>
      <c r="AO11" s="96"/>
      <c r="AP11" s="73">
        <v>179535</v>
      </c>
      <c r="AQ11" s="44"/>
      <c r="AR11" s="114"/>
      <c r="AS11" s="98"/>
      <c r="AT11" s="98"/>
      <c r="AU11" s="98"/>
      <c r="AV11" s="98"/>
      <c r="AW11" s="98"/>
      <c r="AX11" s="98"/>
      <c r="AY11" s="98"/>
      <c r="AZ11" s="115"/>
    </row>
    <row r="12" spans="1:52" s="19" customFormat="1" ht="12.75" customHeight="1" x14ac:dyDescent="0.2">
      <c r="A12" s="72" t="s">
        <v>141</v>
      </c>
      <c r="B12" s="72" t="s">
        <v>190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40"/>
      <c r="S12" s="98" t="s">
        <v>31</v>
      </c>
      <c r="T12" s="73">
        <v>234600</v>
      </c>
      <c r="U12" s="41"/>
      <c r="V12" s="97" t="s">
        <v>162</v>
      </c>
      <c r="W12" s="42"/>
      <c r="X12" s="2">
        <v>53.9</v>
      </c>
      <c r="Y12" s="113"/>
      <c r="Z12" s="43"/>
      <c r="AA12" s="40"/>
      <c r="AB12" s="40"/>
      <c r="AC12" s="43"/>
      <c r="AD12" s="43"/>
      <c r="AE12" s="43"/>
      <c r="AF12" s="43"/>
      <c r="AG12" s="75">
        <v>44749</v>
      </c>
      <c r="AH12" s="75">
        <v>44749</v>
      </c>
      <c r="AI12" s="77">
        <v>44819</v>
      </c>
      <c r="AJ12" s="77">
        <v>44825</v>
      </c>
      <c r="AK12" s="77">
        <v>44825</v>
      </c>
      <c r="AL12" s="57" t="s">
        <v>31</v>
      </c>
      <c r="AM12" s="73">
        <v>234600</v>
      </c>
      <c r="AN12" s="96"/>
      <c r="AO12" s="96"/>
      <c r="AP12" s="73">
        <v>233565</v>
      </c>
      <c r="AQ12" s="44"/>
      <c r="AR12" s="114"/>
      <c r="AS12" s="98"/>
      <c r="AT12" s="98"/>
      <c r="AU12" s="98"/>
      <c r="AV12" s="98"/>
      <c r="AW12" s="98"/>
      <c r="AX12" s="98"/>
      <c r="AY12" s="98"/>
      <c r="AZ12" s="115"/>
    </row>
    <row r="13" spans="1:52" s="19" customFormat="1" ht="12.75" customHeight="1" x14ac:dyDescent="0.2">
      <c r="A13" s="72" t="s">
        <v>142</v>
      </c>
      <c r="B13" s="72" t="s">
        <v>116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0"/>
      <c r="R13" s="40"/>
      <c r="S13" s="98" t="s">
        <v>31</v>
      </c>
      <c r="T13" s="73">
        <f>45000+45000</f>
        <v>90000</v>
      </c>
      <c r="U13" s="41"/>
      <c r="V13" s="97" t="s">
        <v>162</v>
      </c>
      <c r="W13" s="42"/>
      <c r="X13" s="2">
        <v>53.9</v>
      </c>
      <c r="Y13" s="113"/>
      <c r="Z13" s="43"/>
      <c r="AA13" s="40"/>
      <c r="AB13" s="40"/>
      <c r="AC13" s="43"/>
      <c r="AD13" s="43"/>
      <c r="AE13" s="43"/>
      <c r="AF13" s="43"/>
      <c r="AG13" s="75">
        <v>44732</v>
      </c>
      <c r="AH13" s="75">
        <v>44732</v>
      </c>
      <c r="AI13" s="77">
        <v>44783</v>
      </c>
      <c r="AJ13" s="79">
        <v>44790</v>
      </c>
      <c r="AK13" s="79">
        <v>44790</v>
      </c>
      <c r="AL13" s="57" t="s">
        <v>31</v>
      </c>
      <c r="AM13" s="73">
        <f>45000+45000</f>
        <v>90000</v>
      </c>
      <c r="AN13" s="96"/>
      <c r="AO13" s="96"/>
      <c r="AP13" s="73">
        <v>89250</v>
      </c>
      <c r="AQ13" s="44"/>
      <c r="AR13" s="114"/>
      <c r="AS13" s="98"/>
      <c r="AT13" s="98"/>
      <c r="AU13" s="98"/>
      <c r="AV13" s="98"/>
      <c r="AW13" s="98"/>
      <c r="AX13" s="98"/>
      <c r="AY13" s="98"/>
      <c r="AZ13" s="115"/>
    </row>
    <row r="14" spans="1:52" s="19" customFormat="1" ht="12.75" customHeight="1" x14ac:dyDescent="0.2">
      <c r="A14" s="72" t="s">
        <v>152</v>
      </c>
      <c r="B14" s="72" t="s">
        <v>129</v>
      </c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0"/>
      <c r="R14" s="40"/>
      <c r="S14" s="98" t="s">
        <v>31</v>
      </c>
      <c r="T14" s="73">
        <v>25000</v>
      </c>
      <c r="U14" s="41"/>
      <c r="V14" s="97" t="s">
        <v>162</v>
      </c>
      <c r="W14" s="42"/>
      <c r="X14" s="2">
        <v>53.9</v>
      </c>
      <c r="Y14" s="113"/>
      <c r="Z14" s="43"/>
      <c r="AA14" s="40"/>
      <c r="AB14" s="40"/>
      <c r="AC14" s="43"/>
      <c r="AD14" s="43"/>
      <c r="AE14" s="43"/>
      <c r="AF14" s="43"/>
      <c r="AG14" s="75">
        <v>44728</v>
      </c>
      <c r="AH14" s="75">
        <v>44728</v>
      </c>
      <c r="AI14" s="77">
        <v>44783</v>
      </c>
      <c r="AJ14" s="79">
        <v>44790</v>
      </c>
      <c r="AK14" s="79">
        <v>44790</v>
      </c>
      <c r="AL14" s="57" t="s">
        <v>31</v>
      </c>
      <c r="AM14" s="73">
        <v>25000</v>
      </c>
      <c r="AN14" s="96"/>
      <c r="AO14" s="96"/>
      <c r="AP14" s="73">
        <v>24600</v>
      </c>
      <c r="AQ14" s="44"/>
      <c r="AR14" s="114"/>
      <c r="AS14" s="98"/>
      <c r="AT14" s="98"/>
      <c r="AU14" s="98"/>
      <c r="AV14" s="98"/>
      <c r="AW14" s="98"/>
      <c r="AX14" s="98"/>
      <c r="AY14" s="98"/>
      <c r="AZ14" s="115"/>
    </row>
    <row r="15" spans="1:52" s="19" customFormat="1" ht="12.75" customHeight="1" x14ac:dyDescent="0.2">
      <c r="A15" s="72" t="s">
        <v>139</v>
      </c>
      <c r="B15" s="72" t="s">
        <v>114</v>
      </c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0"/>
      <c r="R15" s="40"/>
      <c r="S15" s="98" t="s">
        <v>31</v>
      </c>
      <c r="T15" s="73">
        <v>5000</v>
      </c>
      <c r="U15" s="41"/>
      <c r="V15" s="97" t="s">
        <v>163</v>
      </c>
      <c r="W15" s="42"/>
      <c r="X15" s="2">
        <v>53.9</v>
      </c>
      <c r="Y15" s="113"/>
      <c r="Z15" s="43"/>
      <c r="AA15" s="40"/>
      <c r="AB15" s="40"/>
      <c r="AC15" s="43"/>
      <c r="AD15" s="43"/>
      <c r="AE15" s="43"/>
      <c r="AF15" s="43"/>
      <c r="AG15" s="75">
        <v>44659</v>
      </c>
      <c r="AH15" s="75">
        <v>44659</v>
      </c>
      <c r="AI15" s="77">
        <v>44707</v>
      </c>
      <c r="AJ15" s="79">
        <v>44713</v>
      </c>
      <c r="AK15" s="79">
        <v>44713</v>
      </c>
      <c r="AL15" s="57" t="s">
        <v>31</v>
      </c>
      <c r="AM15" s="73">
        <v>5000</v>
      </c>
      <c r="AN15" s="96"/>
      <c r="AO15" s="96"/>
      <c r="AP15" s="73">
        <v>4840</v>
      </c>
      <c r="AQ15" s="44"/>
      <c r="AR15" s="114"/>
      <c r="AS15" s="98"/>
      <c r="AT15" s="98"/>
      <c r="AU15" s="98"/>
      <c r="AV15" s="98"/>
      <c r="AW15" s="98"/>
      <c r="AX15" s="98"/>
      <c r="AY15" s="98"/>
      <c r="AZ15" s="115"/>
    </row>
    <row r="16" spans="1:52" s="19" customFormat="1" ht="12.75" customHeight="1" x14ac:dyDescent="0.2">
      <c r="A16" s="72" t="s">
        <v>143</v>
      </c>
      <c r="B16" s="72" t="s">
        <v>128</v>
      </c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0"/>
      <c r="R16" s="40"/>
      <c r="S16" s="98" t="s">
        <v>31</v>
      </c>
      <c r="T16" s="73">
        <v>40500</v>
      </c>
      <c r="U16" s="41"/>
      <c r="V16" s="97" t="s">
        <v>163</v>
      </c>
      <c r="W16" s="42"/>
      <c r="X16" s="2">
        <v>53.9</v>
      </c>
      <c r="Y16" s="113"/>
      <c r="Z16" s="43"/>
      <c r="AA16" s="40"/>
      <c r="AB16" s="40"/>
      <c r="AC16" s="43"/>
      <c r="AD16" s="43"/>
      <c r="AE16" s="43"/>
      <c r="AF16" s="43"/>
      <c r="AG16" s="76">
        <v>44659</v>
      </c>
      <c r="AH16" s="76">
        <v>44659</v>
      </c>
      <c r="AI16" s="77">
        <v>44767</v>
      </c>
      <c r="AJ16" s="79">
        <v>44771</v>
      </c>
      <c r="AK16" s="79">
        <v>44771</v>
      </c>
      <c r="AL16" s="57" t="s">
        <v>31</v>
      </c>
      <c r="AM16" s="73">
        <v>40500</v>
      </c>
      <c r="AN16" s="96"/>
      <c r="AO16" s="96"/>
      <c r="AP16" s="73">
        <f>1892+2393+35640</f>
        <v>39925</v>
      </c>
      <c r="AQ16" s="44"/>
      <c r="AR16" s="114"/>
      <c r="AS16" s="98"/>
      <c r="AT16" s="98"/>
      <c r="AU16" s="98"/>
      <c r="AV16" s="98"/>
      <c r="AW16" s="98"/>
      <c r="AX16" s="98"/>
      <c r="AY16" s="98"/>
      <c r="AZ16" s="115"/>
    </row>
    <row r="17" spans="1:52" s="19" customFormat="1" ht="12.75" customHeight="1" x14ac:dyDescent="0.2">
      <c r="A17" s="72" t="s">
        <v>137</v>
      </c>
      <c r="B17" s="72" t="s">
        <v>112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0"/>
      <c r="R17" s="40"/>
      <c r="S17" s="98" t="s">
        <v>31</v>
      </c>
      <c r="T17" s="73">
        <v>5000</v>
      </c>
      <c r="U17" s="41"/>
      <c r="V17" s="97" t="s">
        <v>163</v>
      </c>
      <c r="W17" s="42"/>
      <c r="X17" s="2">
        <v>53.9</v>
      </c>
      <c r="Y17" s="113"/>
      <c r="Z17" s="43"/>
      <c r="AA17" s="40"/>
      <c r="AB17" s="40"/>
      <c r="AC17" s="43"/>
      <c r="AD17" s="43"/>
      <c r="AE17" s="43"/>
      <c r="AF17" s="43"/>
      <c r="AG17" s="75">
        <v>44715</v>
      </c>
      <c r="AH17" s="75">
        <v>44715</v>
      </c>
      <c r="AI17" s="77">
        <v>44760</v>
      </c>
      <c r="AJ17" s="79">
        <v>44767</v>
      </c>
      <c r="AK17" s="79">
        <v>44767</v>
      </c>
      <c r="AL17" s="57" t="s">
        <v>31</v>
      </c>
      <c r="AM17" s="73">
        <v>5000</v>
      </c>
      <c r="AN17" s="96"/>
      <c r="AO17" s="96"/>
      <c r="AP17" s="73">
        <v>4966</v>
      </c>
      <c r="AQ17" s="44"/>
      <c r="AR17" s="114"/>
      <c r="AS17" s="98"/>
      <c r="AT17" s="98"/>
      <c r="AU17" s="98"/>
      <c r="AV17" s="98"/>
      <c r="AW17" s="98"/>
      <c r="AX17" s="98"/>
      <c r="AY17" s="98"/>
      <c r="AZ17" s="115"/>
    </row>
    <row r="18" spans="1:52" s="19" customFormat="1" ht="12.75" customHeight="1" x14ac:dyDescent="0.2">
      <c r="A18" s="72" t="s">
        <v>142</v>
      </c>
      <c r="B18" s="72" t="s">
        <v>116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40"/>
      <c r="S18" s="98" t="s">
        <v>31</v>
      </c>
      <c r="T18" s="73">
        <v>36000</v>
      </c>
      <c r="U18" s="41"/>
      <c r="V18" s="97" t="s">
        <v>163</v>
      </c>
      <c r="W18" s="42"/>
      <c r="X18" s="2">
        <v>53.9</v>
      </c>
      <c r="Y18" s="113"/>
      <c r="Z18" s="43"/>
      <c r="AA18" s="40"/>
      <c r="AB18" s="40"/>
      <c r="AC18" s="43"/>
      <c r="AD18" s="43"/>
      <c r="AE18" s="43"/>
      <c r="AF18" s="43"/>
      <c r="AG18" s="75">
        <v>44715</v>
      </c>
      <c r="AH18" s="75">
        <v>44715</v>
      </c>
      <c r="AI18" s="77">
        <v>44760</v>
      </c>
      <c r="AJ18" s="79">
        <v>44767</v>
      </c>
      <c r="AK18" s="79">
        <v>44767</v>
      </c>
      <c r="AL18" s="57" t="s">
        <v>31</v>
      </c>
      <c r="AM18" s="73">
        <v>36000</v>
      </c>
      <c r="AN18" s="96"/>
      <c r="AO18" s="96"/>
      <c r="AP18" s="73">
        <v>35892</v>
      </c>
      <c r="AQ18" s="44"/>
      <c r="AR18" s="114"/>
      <c r="AS18" s="98"/>
      <c r="AT18" s="98"/>
      <c r="AU18" s="98"/>
      <c r="AV18" s="98"/>
      <c r="AW18" s="98"/>
      <c r="AX18" s="98"/>
      <c r="AY18" s="98"/>
      <c r="AZ18" s="115"/>
    </row>
    <row r="19" spans="1:52" s="19" customFormat="1" ht="12.75" customHeight="1" x14ac:dyDescent="0.2">
      <c r="A19" s="72" t="s">
        <v>140</v>
      </c>
      <c r="B19" s="72" t="s">
        <v>115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40"/>
      <c r="S19" s="98" t="s">
        <v>31</v>
      </c>
      <c r="T19" s="73">
        <v>5000</v>
      </c>
      <c r="U19" s="41"/>
      <c r="V19" s="97" t="s">
        <v>163</v>
      </c>
      <c r="W19" s="42"/>
      <c r="X19" s="2">
        <v>53.9</v>
      </c>
      <c r="Y19" s="113"/>
      <c r="Z19" s="43"/>
      <c r="AA19" s="40"/>
      <c r="AB19" s="40"/>
      <c r="AC19" s="43"/>
      <c r="AD19" s="43"/>
      <c r="AE19" s="43"/>
      <c r="AF19" s="43"/>
      <c r="AG19" s="75">
        <v>44715</v>
      </c>
      <c r="AH19" s="75">
        <v>44715</v>
      </c>
      <c r="AI19" s="77">
        <v>44776</v>
      </c>
      <c r="AJ19" s="79">
        <v>44783</v>
      </c>
      <c r="AK19" s="79">
        <v>44783</v>
      </c>
      <c r="AL19" s="57" t="s">
        <v>31</v>
      </c>
      <c r="AM19" s="73">
        <v>5000</v>
      </c>
      <c r="AN19" s="96"/>
      <c r="AO19" s="96"/>
      <c r="AP19" s="73">
        <v>4974</v>
      </c>
      <c r="AQ19" s="44"/>
      <c r="AR19" s="114"/>
      <c r="AS19" s="98"/>
      <c r="AT19" s="98"/>
      <c r="AU19" s="98"/>
      <c r="AV19" s="98"/>
      <c r="AW19" s="98"/>
      <c r="AX19" s="98"/>
      <c r="AY19" s="98"/>
      <c r="AZ19" s="115"/>
    </row>
    <row r="20" spans="1:52" s="19" customFormat="1" ht="12.75" customHeight="1" x14ac:dyDescent="0.2">
      <c r="A20" s="72" t="s">
        <v>143</v>
      </c>
      <c r="B20" s="153" t="s">
        <v>117</v>
      </c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0"/>
      <c r="S20" s="98" t="s">
        <v>31</v>
      </c>
      <c r="T20" s="73">
        <v>40000</v>
      </c>
      <c r="U20" s="41"/>
      <c r="V20" s="97" t="s">
        <v>163</v>
      </c>
      <c r="W20" s="42"/>
      <c r="X20" s="2">
        <v>53.9</v>
      </c>
      <c r="Y20" s="113"/>
      <c r="Z20" s="43"/>
      <c r="AA20" s="40"/>
      <c r="AB20" s="40"/>
      <c r="AC20" s="43"/>
      <c r="AD20" s="43"/>
      <c r="AE20" s="43"/>
      <c r="AF20" s="43"/>
      <c r="AG20" s="75">
        <v>44756</v>
      </c>
      <c r="AH20" s="75">
        <v>44756</v>
      </c>
      <c r="AI20" s="77">
        <v>44818</v>
      </c>
      <c r="AJ20" s="77">
        <v>44825</v>
      </c>
      <c r="AK20" s="77">
        <v>44825</v>
      </c>
      <c r="AL20" s="57" t="s">
        <v>31</v>
      </c>
      <c r="AM20" s="73">
        <v>40000</v>
      </c>
      <c r="AN20" s="96"/>
      <c r="AO20" s="96"/>
      <c r="AP20" s="73">
        <v>39845</v>
      </c>
      <c r="AQ20" s="44"/>
      <c r="AR20" s="114"/>
      <c r="AS20" s="98"/>
      <c r="AT20" s="98"/>
      <c r="AU20" s="98"/>
      <c r="AV20" s="98"/>
      <c r="AW20" s="98"/>
      <c r="AX20" s="98"/>
      <c r="AY20" s="98"/>
      <c r="AZ20" s="115"/>
    </row>
    <row r="21" spans="1:52" s="19" customFormat="1" ht="12.75" customHeight="1" x14ac:dyDescent="0.2">
      <c r="A21" s="72" t="s">
        <v>143</v>
      </c>
      <c r="B21" s="72" t="s">
        <v>117</v>
      </c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/>
      <c r="R21" s="40"/>
      <c r="S21" s="98" t="s">
        <v>31</v>
      </c>
      <c r="T21" s="73">
        <v>20000</v>
      </c>
      <c r="U21" s="41"/>
      <c r="V21" s="97" t="s">
        <v>163</v>
      </c>
      <c r="W21" s="42"/>
      <c r="X21" s="2">
        <v>53.9</v>
      </c>
      <c r="Y21" s="113"/>
      <c r="Z21" s="43"/>
      <c r="AA21" s="40"/>
      <c r="AB21" s="40"/>
      <c r="AC21" s="43"/>
      <c r="AD21" s="43"/>
      <c r="AE21" s="43"/>
      <c r="AF21" s="43"/>
      <c r="AG21" s="75">
        <v>44776</v>
      </c>
      <c r="AH21" s="75">
        <v>44776</v>
      </c>
      <c r="AI21" s="77">
        <v>44841</v>
      </c>
      <c r="AJ21" s="77">
        <v>44848</v>
      </c>
      <c r="AK21" s="77">
        <v>44848</v>
      </c>
      <c r="AL21" s="57" t="s">
        <v>31</v>
      </c>
      <c r="AM21" s="73">
        <v>20000</v>
      </c>
      <c r="AN21" s="96"/>
      <c r="AO21" s="96"/>
      <c r="AP21" s="73">
        <v>19745</v>
      </c>
      <c r="AQ21" s="44"/>
      <c r="AR21" s="114"/>
      <c r="AS21" s="98"/>
      <c r="AT21" s="98"/>
      <c r="AU21" s="98"/>
      <c r="AV21" s="98"/>
      <c r="AW21" s="98"/>
      <c r="AX21" s="98"/>
      <c r="AY21" s="98"/>
      <c r="AZ21" s="115"/>
    </row>
    <row r="22" spans="1:52" s="19" customFormat="1" ht="12.75" customHeight="1" x14ac:dyDescent="0.2">
      <c r="A22" s="72" t="s">
        <v>231</v>
      </c>
      <c r="B22" s="72" t="s">
        <v>158</v>
      </c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0"/>
      <c r="R22" s="40"/>
      <c r="S22" s="98" t="s">
        <v>31</v>
      </c>
      <c r="T22" s="73">
        <v>13500</v>
      </c>
      <c r="U22" s="41"/>
      <c r="V22" s="97" t="s">
        <v>161</v>
      </c>
      <c r="W22" s="42"/>
      <c r="X22" s="2">
        <v>53.9</v>
      </c>
      <c r="Y22" s="113"/>
      <c r="Z22" s="43"/>
      <c r="AA22" s="40"/>
      <c r="AB22" s="40"/>
      <c r="AC22" s="43"/>
      <c r="AD22" s="43"/>
      <c r="AE22" s="43"/>
      <c r="AF22" s="43"/>
      <c r="AG22" s="75">
        <v>44638</v>
      </c>
      <c r="AH22" s="75">
        <v>44638</v>
      </c>
      <c r="AI22" s="77">
        <v>44707</v>
      </c>
      <c r="AJ22" s="79">
        <v>44713</v>
      </c>
      <c r="AK22" s="79">
        <v>44713</v>
      </c>
      <c r="AL22" s="57" t="s">
        <v>31</v>
      </c>
      <c r="AM22" s="73">
        <v>13500</v>
      </c>
      <c r="AN22" s="96"/>
      <c r="AO22" s="96"/>
      <c r="AP22" s="73">
        <v>12700</v>
      </c>
      <c r="AQ22" s="44"/>
      <c r="AR22" s="114"/>
      <c r="AS22" s="98"/>
      <c r="AT22" s="98"/>
      <c r="AU22" s="98"/>
      <c r="AV22" s="98"/>
      <c r="AW22" s="98"/>
      <c r="AX22" s="98"/>
      <c r="AY22" s="98"/>
      <c r="AZ22" s="115"/>
    </row>
    <row r="23" spans="1:52" s="19" customFormat="1" ht="12.75" customHeight="1" x14ac:dyDescent="0.2">
      <c r="A23" s="72" t="s">
        <v>232</v>
      </c>
      <c r="B23" s="72" t="s">
        <v>159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  <c r="R23" s="40"/>
      <c r="S23" s="98" t="s">
        <v>31</v>
      </c>
      <c r="T23" s="73">
        <v>74599</v>
      </c>
      <c r="U23" s="41"/>
      <c r="V23" s="97" t="s">
        <v>161</v>
      </c>
      <c r="W23" s="42"/>
      <c r="X23" s="2">
        <v>53.9</v>
      </c>
      <c r="Y23" s="113"/>
      <c r="Z23" s="43"/>
      <c r="AA23" s="40"/>
      <c r="AB23" s="40"/>
      <c r="AC23" s="43"/>
      <c r="AD23" s="43"/>
      <c r="AE23" s="43"/>
      <c r="AF23" s="43"/>
      <c r="AG23" s="75">
        <v>44642</v>
      </c>
      <c r="AH23" s="75">
        <v>44642</v>
      </c>
      <c r="AI23" s="77">
        <v>44707</v>
      </c>
      <c r="AJ23" s="79">
        <v>44714</v>
      </c>
      <c r="AK23" s="79">
        <v>44714</v>
      </c>
      <c r="AL23" s="57" t="s">
        <v>31</v>
      </c>
      <c r="AM23" s="73">
        <v>74599</v>
      </c>
      <c r="AN23" s="96"/>
      <c r="AO23" s="96"/>
      <c r="AP23" s="73">
        <v>73500</v>
      </c>
      <c r="AQ23" s="44"/>
      <c r="AR23" s="114"/>
      <c r="AS23" s="98"/>
      <c r="AT23" s="98"/>
      <c r="AU23" s="98"/>
      <c r="AV23" s="98"/>
      <c r="AW23" s="98"/>
      <c r="AX23" s="98"/>
      <c r="AY23" s="98"/>
      <c r="AZ23" s="115"/>
    </row>
    <row r="24" spans="1:52" s="19" customFormat="1" ht="12.75" customHeight="1" x14ac:dyDescent="0.2">
      <c r="A24" s="72" t="s">
        <v>233</v>
      </c>
      <c r="B24" s="72" t="s">
        <v>158</v>
      </c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0"/>
      <c r="R24" s="40"/>
      <c r="S24" s="98" t="s">
        <v>31</v>
      </c>
      <c r="T24" s="73">
        <v>29800</v>
      </c>
      <c r="U24" s="41"/>
      <c r="V24" s="97" t="s">
        <v>161</v>
      </c>
      <c r="W24" s="42"/>
      <c r="X24" s="2">
        <v>53.9</v>
      </c>
      <c r="Y24" s="113"/>
      <c r="Z24" s="43"/>
      <c r="AA24" s="40"/>
      <c r="AB24" s="40"/>
      <c r="AC24" s="43"/>
      <c r="AD24" s="43"/>
      <c r="AE24" s="43"/>
      <c r="AF24" s="43"/>
      <c r="AG24" s="75">
        <v>44638</v>
      </c>
      <c r="AH24" s="75">
        <v>44638</v>
      </c>
      <c r="AI24" s="77">
        <v>44658</v>
      </c>
      <c r="AJ24" s="79">
        <v>44664</v>
      </c>
      <c r="AK24" s="79">
        <v>44664</v>
      </c>
      <c r="AL24" s="57" t="s">
        <v>31</v>
      </c>
      <c r="AM24" s="73">
        <v>29800</v>
      </c>
      <c r="AN24" s="96"/>
      <c r="AO24" s="96"/>
      <c r="AP24" s="73">
        <v>29000</v>
      </c>
      <c r="AQ24" s="44"/>
      <c r="AR24" s="114"/>
      <c r="AS24" s="98"/>
      <c r="AT24" s="98"/>
      <c r="AU24" s="98"/>
      <c r="AV24" s="98"/>
      <c r="AW24" s="98"/>
      <c r="AX24" s="98"/>
      <c r="AY24" s="98"/>
      <c r="AZ24" s="115"/>
    </row>
    <row r="25" spans="1:52" s="19" customFormat="1" ht="12.75" customHeight="1" x14ac:dyDescent="0.2">
      <c r="A25" s="72" t="s">
        <v>234</v>
      </c>
      <c r="B25" s="72" t="s">
        <v>159</v>
      </c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40"/>
      <c r="S25" s="98" t="s">
        <v>31</v>
      </c>
      <c r="T25" s="73">
        <v>29998</v>
      </c>
      <c r="U25" s="41"/>
      <c r="V25" s="97" t="s">
        <v>161</v>
      </c>
      <c r="W25" s="42"/>
      <c r="X25" s="2">
        <v>53.9</v>
      </c>
      <c r="Y25" s="113"/>
      <c r="Z25" s="43"/>
      <c r="AA25" s="40"/>
      <c r="AB25" s="40"/>
      <c r="AC25" s="43"/>
      <c r="AD25" s="43"/>
      <c r="AE25" s="43"/>
      <c r="AF25" s="43"/>
      <c r="AG25" s="75">
        <v>44736</v>
      </c>
      <c r="AH25" s="75">
        <v>44736</v>
      </c>
      <c r="AI25" s="77">
        <v>44790</v>
      </c>
      <c r="AJ25" s="79">
        <v>44797</v>
      </c>
      <c r="AK25" s="79">
        <v>44797</v>
      </c>
      <c r="AL25" s="57" t="s">
        <v>31</v>
      </c>
      <c r="AM25" s="73">
        <v>29998</v>
      </c>
      <c r="AN25" s="96"/>
      <c r="AO25" s="96"/>
      <c r="AP25" s="73">
        <v>29480</v>
      </c>
      <c r="AQ25" s="44"/>
      <c r="AR25" s="114"/>
      <c r="AS25" s="98"/>
      <c r="AT25" s="98"/>
      <c r="AU25" s="98"/>
      <c r="AV25" s="98"/>
      <c r="AW25" s="98"/>
      <c r="AX25" s="98"/>
      <c r="AY25" s="98"/>
      <c r="AZ25" s="115"/>
    </row>
    <row r="26" spans="1:52" s="19" customFormat="1" ht="12.75" customHeight="1" x14ac:dyDescent="0.2">
      <c r="A26" s="72" t="s">
        <v>144</v>
      </c>
      <c r="B26" s="72" t="s">
        <v>126</v>
      </c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40"/>
      <c r="S26" s="98" t="s">
        <v>31</v>
      </c>
      <c r="T26" s="73">
        <v>900000</v>
      </c>
      <c r="U26" s="41"/>
      <c r="V26" s="97" t="s">
        <v>161</v>
      </c>
      <c r="W26" s="42"/>
      <c r="X26" s="2">
        <v>53.9</v>
      </c>
      <c r="Y26" s="113"/>
      <c r="Z26" s="43"/>
      <c r="AA26" s="40"/>
      <c r="AB26" s="40"/>
      <c r="AC26" s="43"/>
      <c r="AD26" s="43"/>
      <c r="AE26" s="43"/>
      <c r="AF26" s="43"/>
      <c r="AG26" s="75">
        <v>44732</v>
      </c>
      <c r="AH26" s="75">
        <v>44732</v>
      </c>
      <c r="AI26" s="77">
        <v>44789</v>
      </c>
      <c r="AJ26" s="79">
        <v>44799</v>
      </c>
      <c r="AK26" s="79">
        <v>44799</v>
      </c>
      <c r="AL26" s="57" t="s">
        <v>31</v>
      </c>
      <c r="AM26" s="73">
        <v>900000</v>
      </c>
      <c r="AN26" s="96"/>
      <c r="AO26" s="96"/>
      <c r="AP26" s="73">
        <v>896000</v>
      </c>
      <c r="AQ26" s="44"/>
      <c r="AR26" s="114"/>
      <c r="AS26" s="98"/>
      <c r="AT26" s="98"/>
      <c r="AU26" s="98"/>
      <c r="AV26" s="98"/>
      <c r="AW26" s="98"/>
      <c r="AX26" s="98"/>
      <c r="AY26" s="98"/>
      <c r="AZ26" s="115"/>
    </row>
    <row r="27" spans="1:52" s="19" customFormat="1" ht="12.75" customHeight="1" x14ac:dyDescent="0.2">
      <c r="A27" s="72" t="s">
        <v>146</v>
      </c>
      <c r="B27" s="72" t="s">
        <v>121</v>
      </c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0"/>
      <c r="R27" s="40"/>
      <c r="S27" s="98" t="s">
        <v>31</v>
      </c>
      <c r="T27" s="73">
        <v>340000</v>
      </c>
      <c r="U27" s="41"/>
      <c r="V27" s="97" t="s">
        <v>161</v>
      </c>
      <c r="W27" s="42"/>
      <c r="X27" s="2">
        <v>53.9</v>
      </c>
      <c r="Y27" s="113"/>
      <c r="Z27" s="43"/>
      <c r="AA27" s="40"/>
      <c r="AB27" s="40"/>
      <c r="AC27" s="43"/>
      <c r="AD27" s="43"/>
      <c r="AE27" s="43"/>
      <c r="AF27" s="43"/>
      <c r="AG27" s="75">
        <v>44732</v>
      </c>
      <c r="AH27" s="75">
        <v>44732</v>
      </c>
      <c r="AI27" s="77">
        <v>44771</v>
      </c>
      <c r="AJ27" s="79">
        <v>44778</v>
      </c>
      <c r="AK27" s="79">
        <v>44778</v>
      </c>
      <c r="AL27" s="57" t="s">
        <v>31</v>
      </c>
      <c r="AM27" s="73">
        <v>340000</v>
      </c>
      <c r="AN27" s="96"/>
      <c r="AO27" s="96"/>
      <c r="AP27" s="73">
        <v>338475</v>
      </c>
      <c r="AQ27" s="44"/>
      <c r="AR27" s="114"/>
      <c r="AS27" s="98"/>
      <c r="AT27" s="98"/>
      <c r="AU27" s="98"/>
      <c r="AV27" s="98"/>
      <c r="AW27" s="98"/>
      <c r="AX27" s="98"/>
      <c r="AY27" s="98"/>
      <c r="AZ27" s="115"/>
    </row>
    <row r="28" spans="1:52" s="19" customFormat="1" ht="12.75" customHeight="1" x14ac:dyDescent="0.2">
      <c r="A28" s="72" t="s">
        <v>144</v>
      </c>
      <c r="B28" s="72" t="s">
        <v>235</v>
      </c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0"/>
      <c r="R28" s="40"/>
      <c r="S28" s="98" t="s">
        <v>31</v>
      </c>
      <c r="T28" s="73">
        <v>790000</v>
      </c>
      <c r="U28" s="41"/>
      <c r="V28" s="97" t="s">
        <v>161</v>
      </c>
      <c r="W28" s="42"/>
      <c r="X28" s="2">
        <v>53.9</v>
      </c>
      <c r="Y28" s="113"/>
      <c r="Z28" s="43"/>
      <c r="AA28" s="40"/>
      <c r="AB28" s="40"/>
      <c r="AC28" s="43"/>
      <c r="AD28" s="43"/>
      <c r="AE28" s="43"/>
      <c r="AF28" s="43"/>
      <c r="AG28" s="75">
        <v>44749</v>
      </c>
      <c r="AH28" s="75">
        <v>44749</v>
      </c>
      <c r="AI28" s="77">
        <v>44824</v>
      </c>
      <c r="AJ28" s="77">
        <v>44834</v>
      </c>
      <c r="AK28" s="77">
        <v>44834</v>
      </c>
      <c r="AL28" s="57" t="s">
        <v>31</v>
      </c>
      <c r="AM28" s="73">
        <v>790000</v>
      </c>
      <c r="AN28" s="96"/>
      <c r="AO28" s="96"/>
      <c r="AP28" s="73">
        <v>785920</v>
      </c>
      <c r="AQ28" s="44"/>
      <c r="AR28" s="114"/>
      <c r="AS28" s="98"/>
      <c r="AT28" s="98"/>
      <c r="AU28" s="98"/>
      <c r="AV28" s="98"/>
      <c r="AW28" s="98"/>
      <c r="AX28" s="98"/>
      <c r="AY28" s="98"/>
      <c r="AZ28" s="115"/>
    </row>
    <row r="29" spans="1:52" s="19" customFormat="1" ht="12.75" customHeight="1" x14ac:dyDescent="0.2">
      <c r="A29" s="72" t="s">
        <v>146</v>
      </c>
      <c r="B29" s="72" t="s">
        <v>121</v>
      </c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0"/>
      <c r="R29" s="40"/>
      <c r="S29" s="98"/>
      <c r="T29" s="73">
        <v>30000</v>
      </c>
      <c r="U29" s="41"/>
      <c r="V29" s="97" t="s">
        <v>164</v>
      </c>
      <c r="W29" s="42"/>
      <c r="X29" s="2">
        <v>53.9</v>
      </c>
      <c r="Y29" s="113"/>
      <c r="Z29" s="43"/>
      <c r="AA29" s="40"/>
      <c r="AB29" s="40"/>
      <c r="AC29" s="43"/>
      <c r="AD29" s="43"/>
      <c r="AE29" s="43"/>
      <c r="AF29" s="43"/>
      <c r="AG29" s="75">
        <v>44656</v>
      </c>
      <c r="AH29" s="75">
        <v>44656</v>
      </c>
      <c r="AI29" s="77">
        <v>44658</v>
      </c>
      <c r="AJ29" s="79">
        <v>44664</v>
      </c>
      <c r="AK29" s="79">
        <v>44664</v>
      </c>
      <c r="AL29" s="57" t="s">
        <v>31</v>
      </c>
      <c r="AM29" s="73">
        <v>30000</v>
      </c>
      <c r="AN29" s="96"/>
      <c r="AO29" s="96"/>
      <c r="AP29" s="73">
        <v>29802</v>
      </c>
      <c r="AQ29" s="44"/>
      <c r="AR29" s="114"/>
      <c r="AS29" s="98"/>
      <c r="AT29" s="98"/>
      <c r="AU29" s="98"/>
      <c r="AV29" s="98"/>
      <c r="AW29" s="98"/>
      <c r="AX29" s="98"/>
      <c r="AY29" s="98"/>
      <c r="AZ29" s="115"/>
    </row>
    <row r="30" spans="1:52" s="19" customFormat="1" ht="12.75" customHeight="1" x14ac:dyDescent="0.2">
      <c r="A30" s="72" t="s">
        <v>152</v>
      </c>
      <c r="B30" s="72" t="s">
        <v>157</v>
      </c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0"/>
      <c r="R30" s="40"/>
      <c r="S30" s="98"/>
      <c r="T30" s="73">
        <v>30000</v>
      </c>
      <c r="U30" s="41"/>
      <c r="V30" s="97" t="s">
        <v>164</v>
      </c>
      <c r="W30" s="42"/>
      <c r="X30" s="2">
        <v>53.9</v>
      </c>
      <c r="Y30" s="113"/>
      <c r="Z30" s="43"/>
      <c r="AA30" s="40"/>
      <c r="AB30" s="40"/>
      <c r="AC30" s="43"/>
      <c r="AD30" s="43"/>
      <c r="AE30" s="43"/>
      <c r="AF30" s="43"/>
      <c r="AG30" s="75">
        <v>44659</v>
      </c>
      <c r="AH30" s="75">
        <v>44659</v>
      </c>
      <c r="AI30" s="77">
        <v>44658</v>
      </c>
      <c r="AJ30" s="79">
        <v>44664</v>
      </c>
      <c r="AK30" s="79">
        <v>44664</v>
      </c>
      <c r="AL30" s="57" t="s">
        <v>31</v>
      </c>
      <c r="AM30" s="73">
        <v>30000</v>
      </c>
      <c r="AN30" s="96"/>
      <c r="AO30" s="96"/>
      <c r="AP30" s="73">
        <v>29840</v>
      </c>
      <c r="AQ30" s="44"/>
      <c r="AR30" s="114"/>
      <c r="AS30" s="98"/>
      <c r="AT30" s="98"/>
      <c r="AU30" s="98"/>
      <c r="AV30" s="98"/>
      <c r="AW30" s="98"/>
      <c r="AX30" s="98"/>
      <c r="AY30" s="98"/>
      <c r="AZ30" s="115"/>
    </row>
    <row r="31" spans="1:52" s="19" customFormat="1" ht="12.75" customHeight="1" x14ac:dyDescent="0.2">
      <c r="A31" s="72" t="s">
        <v>143</v>
      </c>
      <c r="B31" s="72" t="s">
        <v>128</v>
      </c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40"/>
      <c r="S31" s="98" t="s">
        <v>31</v>
      </c>
      <c r="T31" s="73">
        <v>35500</v>
      </c>
      <c r="U31" s="41"/>
      <c r="V31" s="97" t="s">
        <v>164</v>
      </c>
      <c r="W31" s="42"/>
      <c r="X31" s="2">
        <v>53.9</v>
      </c>
      <c r="Y31" s="113"/>
      <c r="Z31" s="43"/>
      <c r="AA31" s="40"/>
      <c r="AB31" s="40"/>
      <c r="AC31" s="43"/>
      <c r="AD31" s="43"/>
      <c r="AE31" s="43"/>
      <c r="AF31" s="43"/>
      <c r="AG31" s="76">
        <v>44656</v>
      </c>
      <c r="AH31" s="76">
        <v>44656</v>
      </c>
      <c r="AI31" s="77">
        <v>44753</v>
      </c>
      <c r="AJ31" s="79">
        <v>44760</v>
      </c>
      <c r="AK31" s="79">
        <v>44760</v>
      </c>
      <c r="AL31" s="57" t="s">
        <v>31</v>
      </c>
      <c r="AM31" s="73">
        <v>35500</v>
      </c>
      <c r="AN31" s="96"/>
      <c r="AO31" s="96"/>
      <c r="AP31" s="73">
        <v>35115</v>
      </c>
      <c r="AQ31" s="44"/>
      <c r="AR31" s="114"/>
      <c r="AS31" s="98"/>
      <c r="AT31" s="98"/>
      <c r="AU31" s="98"/>
      <c r="AV31" s="98"/>
      <c r="AW31" s="98"/>
      <c r="AX31" s="98"/>
      <c r="AY31" s="98"/>
      <c r="AZ31" s="115"/>
    </row>
    <row r="32" spans="1:52" s="19" customFormat="1" ht="12.75" customHeight="1" x14ac:dyDescent="0.2">
      <c r="A32" s="72" t="s">
        <v>152</v>
      </c>
      <c r="B32" s="72" t="s">
        <v>129</v>
      </c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0"/>
      <c r="R32" s="40"/>
      <c r="S32" s="98" t="s">
        <v>31</v>
      </c>
      <c r="T32" s="73">
        <v>30000</v>
      </c>
      <c r="U32" s="41"/>
      <c r="V32" s="97" t="s">
        <v>164</v>
      </c>
      <c r="W32" s="42"/>
      <c r="X32" s="2">
        <v>53.9</v>
      </c>
      <c r="Y32" s="113"/>
      <c r="Z32" s="43"/>
      <c r="AA32" s="40"/>
      <c r="AB32" s="40"/>
      <c r="AC32" s="43"/>
      <c r="AD32" s="43"/>
      <c r="AE32" s="43"/>
      <c r="AF32" s="43"/>
      <c r="AG32" s="75">
        <v>44736</v>
      </c>
      <c r="AH32" s="75">
        <v>44736</v>
      </c>
      <c r="AI32" s="77">
        <v>44805</v>
      </c>
      <c r="AJ32" s="79">
        <v>44812</v>
      </c>
      <c r="AK32" s="79">
        <v>44812</v>
      </c>
      <c r="AL32" s="57" t="s">
        <v>31</v>
      </c>
      <c r="AM32" s="73">
        <v>30000</v>
      </c>
      <c r="AN32" s="96"/>
      <c r="AO32" s="96"/>
      <c r="AP32" s="73">
        <v>29865</v>
      </c>
      <c r="AQ32" s="44"/>
      <c r="AR32" s="114"/>
      <c r="AS32" s="98"/>
      <c r="AT32" s="98"/>
      <c r="AU32" s="98"/>
      <c r="AV32" s="98"/>
      <c r="AW32" s="98"/>
      <c r="AX32" s="98"/>
      <c r="AY32" s="98"/>
      <c r="AZ32" s="115"/>
    </row>
    <row r="33" spans="1:52" s="19" customFormat="1" ht="12.75" customHeight="1" x14ac:dyDescent="0.2">
      <c r="A33" s="72" t="s">
        <v>143</v>
      </c>
      <c r="B33" s="72" t="s">
        <v>128</v>
      </c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98" t="s">
        <v>31</v>
      </c>
      <c r="T33" s="73">
        <v>42500</v>
      </c>
      <c r="U33" s="41"/>
      <c r="V33" s="97" t="s">
        <v>164</v>
      </c>
      <c r="W33" s="42"/>
      <c r="X33" s="2">
        <v>53.9</v>
      </c>
      <c r="Y33" s="113"/>
      <c r="Z33" s="43"/>
      <c r="AA33" s="40"/>
      <c r="AB33" s="40"/>
      <c r="AC33" s="43"/>
      <c r="AD33" s="43"/>
      <c r="AE33" s="43"/>
      <c r="AF33" s="43"/>
      <c r="AG33" s="75">
        <v>44825</v>
      </c>
      <c r="AH33" s="75">
        <v>44825</v>
      </c>
      <c r="AI33" s="77">
        <v>44862</v>
      </c>
      <c r="AJ33" s="77">
        <v>44869</v>
      </c>
      <c r="AK33" s="77">
        <v>44869</v>
      </c>
      <c r="AL33" s="57" t="s">
        <v>31</v>
      </c>
      <c r="AM33" s="73">
        <v>42500</v>
      </c>
      <c r="AN33" s="96"/>
      <c r="AO33" s="96"/>
      <c r="AP33" s="73">
        <v>41922</v>
      </c>
      <c r="AQ33" s="44"/>
      <c r="AR33" s="114"/>
      <c r="AS33" s="98"/>
      <c r="AT33" s="98"/>
      <c r="AU33" s="98"/>
      <c r="AV33" s="98"/>
      <c r="AW33" s="98"/>
      <c r="AX33" s="98"/>
      <c r="AY33" s="98"/>
      <c r="AZ33" s="115"/>
    </row>
    <row r="34" spans="1:52" s="19" customFormat="1" ht="12.75" customHeight="1" x14ac:dyDescent="0.2">
      <c r="A34" s="72" t="s">
        <v>143</v>
      </c>
      <c r="B34" s="72" t="s">
        <v>128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0"/>
      <c r="R34" s="40"/>
      <c r="S34" s="98" t="s">
        <v>31</v>
      </c>
      <c r="T34" s="73">
        <v>165000</v>
      </c>
      <c r="U34" s="41"/>
      <c r="V34" s="97" t="s">
        <v>165</v>
      </c>
      <c r="W34" s="42"/>
      <c r="X34" s="2">
        <v>53.9</v>
      </c>
      <c r="Y34" s="113"/>
      <c r="Z34" s="43"/>
      <c r="AA34" s="40"/>
      <c r="AB34" s="40"/>
      <c r="AC34" s="43"/>
      <c r="AD34" s="43"/>
      <c r="AE34" s="43"/>
      <c r="AF34" s="43"/>
      <c r="AG34" s="76">
        <v>44658</v>
      </c>
      <c r="AH34" s="76">
        <v>44658</v>
      </c>
      <c r="AI34" s="157">
        <v>44693</v>
      </c>
      <c r="AJ34" s="79">
        <v>44700</v>
      </c>
      <c r="AK34" s="79">
        <v>44700</v>
      </c>
      <c r="AL34" s="57" t="s">
        <v>31</v>
      </c>
      <c r="AM34" s="73">
        <v>165000</v>
      </c>
      <c r="AN34" s="96"/>
      <c r="AO34" s="96"/>
      <c r="AP34" s="73">
        <v>163530</v>
      </c>
      <c r="AQ34" s="44"/>
      <c r="AR34" s="114"/>
      <c r="AS34" s="98"/>
      <c r="AT34" s="98"/>
      <c r="AU34" s="98"/>
      <c r="AV34" s="98"/>
      <c r="AW34" s="98"/>
      <c r="AX34" s="98"/>
      <c r="AY34" s="98"/>
      <c r="AZ34" s="115"/>
    </row>
    <row r="35" spans="1:52" s="19" customFormat="1" ht="12.75" customHeight="1" x14ac:dyDescent="0.2">
      <c r="A35" s="72" t="s">
        <v>142</v>
      </c>
      <c r="B35" s="72" t="s">
        <v>116</v>
      </c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0"/>
      <c r="R35" s="40"/>
      <c r="S35" s="98" t="s">
        <v>31</v>
      </c>
      <c r="T35" s="73">
        <f>17500+17500</f>
        <v>35000</v>
      </c>
      <c r="U35" s="41"/>
      <c r="V35" s="97" t="s">
        <v>165</v>
      </c>
      <c r="W35" s="42"/>
      <c r="X35" s="2">
        <v>53.9</v>
      </c>
      <c r="Y35" s="113"/>
      <c r="Z35" s="43"/>
      <c r="AA35" s="40"/>
      <c r="AB35" s="40"/>
      <c r="AC35" s="43"/>
      <c r="AD35" s="43"/>
      <c r="AE35" s="43"/>
      <c r="AF35" s="43"/>
      <c r="AG35" s="75">
        <v>44657</v>
      </c>
      <c r="AH35" s="75">
        <v>44657</v>
      </c>
      <c r="AI35" s="77">
        <v>44707</v>
      </c>
      <c r="AJ35" s="79">
        <v>44713</v>
      </c>
      <c r="AK35" s="79">
        <v>44713</v>
      </c>
      <c r="AL35" s="57" t="s">
        <v>31</v>
      </c>
      <c r="AM35" s="73">
        <f>17500+17500</f>
        <v>35000</v>
      </c>
      <c r="AN35" s="96"/>
      <c r="AO35" s="96"/>
      <c r="AP35" s="73">
        <f>17353+17353</f>
        <v>34706</v>
      </c>
      <c r="AQ35" s="44"/>
      <c r="AR35" s="114"/>
      <c r="AS35" s="98"/>
      <c r="AT35" s="98"/>
      <c r="AU35" s="98"/>
      <c r="AV35" s="98"/>
      <c r="AW35" s="98"/>
      <c r="AX35" s="98"/>
      <c r="AY35" s="98"/>
      <c r="AZ35" s="115"/>
    </row>
    <row r="36" spans="1:52" s="19" customFormat="1" ht="12.75" customHeight="1" x14ac:dyDescent="0.2">
      <c r="A36" s="72" t="s">
        <v>144</v>
      </c>
      <c r="B36" s="72" t="s">
        <v>126</v>
      </c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0"/>
      <c r="S36" s="98" t="s">
        <v>31</v>
      </c>
      <c r="T36" s="73">
        <v>93000</v>
      </c>
      <c r="U36" s="41"/>
      <c r="V36" s="97" t="s">
        <v>165</v>
      </c>
      <c r="W36" s="42"/>
      <c r="X36" s="2">
        <v>53.9</v>
      </c>
      <c r="Y36" s="113"/>
      <c r="Z36" s="43"/>
      <c r="AA36" s="40"/>
      <c r="AB36" s="40"/>
      <c r="AC36" s="43"/>
      <c r="AD36" s="43"/>
      <c r="AE36" s="43"/>
      <c r="AF36" s="43"/>
      <c r="AG36" s="76">
        <v>44663</v>
      </c>
      <c r="AH36" s="76">
        <v>44663</v>
      </c>
      <c r="AI36" s="77">
        <v>44658</v>
      </c>
      <c r="AJ36" s="79">
        <v>44664</v>
      </c>
      <c r="AK36" s="79">
        <v>44664</v>
      </c>
      <c r="AL36" s="57" t="s">
        <v>31</v>
      </c>
      <c r="AM36" s="73">
        <v>93000</v>
      </c>
      <c r="AN36" s="96"/>
      <c r="AO36" s="96"/>
      <c r="AP36" s="73">
        <v>91815</v>
      </c>
      <c r="AQ36" s="44"/>
      <c r="AR36" s="114"/>
      <c r="AS36" s="98"/>
      <c r="AT36" s="98"/>
      <c r="AU36" s="98"/>
      <c r="AV36" s="98"/>
      <c r="AW36" s="98"/>
      <c r="AX36" s="98"/>
      <c r="AY36" s="98"/>
      <c r="AZ36" s="115"/>
    </row>
    <row r="37" spans="1:52" s="19" customFormat="1" ht="12.75" customHeight="1" x14ac:dyDescent="0.2">
      <c r="A37" s="72" t="s">
        <v>137</v>
      </c>
      <c r="B37" s="72" t="s">
        <v>112</v>
      </c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0"/>
      <c r="R37" s="40"/>
      <c r="S37" s="98" t="s">
        <v>31</v>
      </c>
      <c r="T37" s="73">
        <v>89000</v>
      </c>
      <c r="U37" s="41"/>
      <c r="V37" s="97" t="s">
        <v>165</v>
      </c>
      <c r="W37" s="42"/>
      <c r="X37" s="2">
        <v>53.9</v>
      </c>
      <c r="Y37" s="113"/>
      <c r="Z37" s="43"/>
      <c r="AA37" s="40"/>
      <c r="AB37" s="40"/>
      <c r="AC37" s="43"/>
      <c r="AD37" s="43"/>
      <c r="AE37" s="43"/>
      <c r="AF37" s="43"/>
      <c r="AG37" s="76">
        <v>44697</v>
      </c>
      <c r="AH37" s="76">
        <v>44697</v>
      </c>
      <c r="AI37" s="77">
        <v>44741</v>
      </c>
      <c r="AJ37" s="79">
        <v>44746</v>
      </c>
      <c r="AK37" s="79">
        <v>44746</v>
      </c>
      <c r="AL37" s="57" t="s">
        <v>31</v>
      </c>
      <c r="AM37" s="73">
        <v>89000</v>
      </c>
      <c r="AN37" s="96"/>
      <c r="AO37" s="96"/>
      <c r="AP37" s="73">
        <v>88112</v>
      </c>
      <c r="AQ37" s="44"/>
      <c r="AR37" s="114"/>
      <c r="AS37" s="98"/>
      <c r="AT37" s="98"/>
      <c r="AU37" s="98"/>
      <c r="AV37" s="98"/>
      <c r="AW37" s="98"/>
      <c r="AX37" s="98"/>
      <c r="AY37" s="98"/>
      <c r="AZ37" s="115"/>
    </row>
    <row r="38" spans="1:52" s="19" customFormat="1" ht="12.75" customHeight="1" x14ac:dyDescent="0.2">
      <c r="A38" s="72" t="s">
        <v>151</v>
      </c>
      <c r="B38" s="72" t="s">
        <v>123</v>
      </c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0"/>
      <c r="R38" s="40"/>
      <c r="S38" s="98" t="s">
        <v>31</v>
      </c>
      <c r="T38" s="73">
        <v>20000</v>
      </c>
      <c r="U38" s="41"/>
      <c r="V38" s="97" t="s">
        <v>165</v>
      </c>
      <c r="W38" s="42"/>
      <c r="X38" s="2">
        <v>53.9</v>
      </c>
      <c r="Y38" s="113"/>
      <c r="Z38" s="43"/>
      <c r="AA38" s="40"/>
      <c r="AB38" s="40"/>
      <c r="AC38" s="43"/>
      <c r="AD38" s="43"/>
      <c r="AE38" s="43"/>
      <c r="AF38" s="43"/>
      <c r="AG38" s="75">
        <v>44791</v>
      </c>
      <c r="AH38" s="75">
        <v>44791</v>
      </c>
      <c r="AI38" s="77">
        <v>44813</v>
      </c>
      <c r="AJ38" s="77">
        <v>44820</v>
      </c>
      <c r="AK38" s="77">
        <v>44820</v>
      </c>
      <c r="AL38" s="57" t="s">
        <v>31</v>
      </c>
      <c r="AM38" s="73">
        <v>20000</v>
      </c>
      <c r="AN38" s="96"/>
      <c r="AO38" s="96"/>
      <c r="AP38" s="73">
        <v>19700</v>
      </c>
      <c r="AQ38" s="44"/>
      <c r="AR38" s="114"/>
      <c r="AS38" s="98"/>
      <c r="AT38" s="98"/>
      <c r="AU38" s="98"/>
      <c r="AV38" s="98"/>
      <c r="AW38" s="98"/>
      <c r="AX38" s="98"/>
      <c r="AY38" s="98"/>
      <c r="AZ38" s="115"/>
    </row>
    <row r="39" spans="1:52" s="19" customFormat="1" ht="12.75" customHeight="1" x14ac:dyDescent="0.2">
      <c r="A39" s="72" t="s">
        <v>140</v>
      </c>
      <c r="B39" s="72" t="s">
        <v>220</v>
      </c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0"/>
      <c r="R39" s="40"/>
      <c r="S39" s="98" t="s">
        <v>31</v>
      </c>
      <c r="T39" s="73">
        <v>10000</v>
      </c>
      <c r="U39" s="41"/>
      <c r="V39" s="165" t="s">
        <v>165</v>
      </c>
      <c r="W39" s="42"/>
      <c r="X39" s="2">
        <v>53.9</v>
      </c>
      <c r="Y39" s="113"/>
      <c r="Z39" s="43"/>
      <c r="AA39" s="40"/>
      <c r="AB39" s="40"/>
      <c r="AC39" s="43"/>
      <c r="AD39" s="43"/>
      <c r="AE39" s="43"/>
      <c r="AF39" s="43"/>
      <c r="AG39" s="75">
        <v>44844</v>
      </c>
      <c r="AH39" s="75">
        <v>44844</v>
      </c>
      <c r="AI39" s="77">
        <v>44873</v>
      </c>
      <c r="AJ39" s="77">
        <v>44880</v>
      </c>
      <c r="AK39" s="77">
        <v>44880</v>
      </c>
      <c r="AL39" s="57" t="s">
        <v>31</v>
      </c>
      <c r="AM39" s="73">
        <v>10000</v>
      </c>
      <c r="AN39" s="96"/>
      <c r="AO39" s="96"/>
      <c r="AP39" s="73">
        <v>9775</v>
      </c>
      <c r="AQ39" s="44"/>
      <c r="AR39" s="114"/>
      <c r="AS39" s="98"/>
      <c r="AT39" s="98"/>
      <c r="AU39" s="98"/>
      <c r="AV39" s="98"/>
      <c r="AW39" s="98"/>
      <c r="AX39" s="98"/>
      <c r="AY39" s="98"/>
      <c r="AZ39" s="115"/>
    </row>
    <row r="40" spans="1:52" ht="12.75" x14ac:dyDescent="0.2">
      <c r="A40" s="248" t="s">
        <v>41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69">
        <f>SUM(AM9:AM39)</f>
        <v>3514797</v>
      </c>
      <c r="AN40" s="269"/>
      <c r="AO40" s="269"/>
      <c r="AP40" s="250"/>
      <c r="AQ40" s="250"/>
      <c r="AR40" s="251"/>
      <c r="AS40" s="103"/>
      <c r="AT40" s="103"/>
      <c r="AU40" s="103"/>
      <c r="AV40" s="103"/>
      <c r="AW40" s="103"/>
      <c r="AX40" s="103"/>
      <c r="AY40" s="103"/>
      <c r="AZ40" s="103"/>
    </row>
    <row r="41" spans="1:52" ht="12.75" x14ac:dyDescent="0.2">
      <c r="A41" s="252" t="s">
        <v>42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3"/>
      <c r="AN41" s="253"/>
      <c r="AO41" s="253"/>
      <c r="AP41" s="254">
        <f>SUM(AP9:AP40)</f>
        <v>3490053</v>
      </c>
      <c r="AQ41" s="255"/>
      <c r="AR41" s="255"/>
      <c r="AS41" s="103"/>
      <c r="AT41" s="103"/>
      <c r="AU41" s="103"/>
      <c r="AV41" s="103"/>
      <c r="AW41" s="103"/>
      <c r="AX41" s="103"/>
      <c r="AY41" s="103"/>
      <c r="AZ41" s="103"/>
    </row>
    <row r="42" spans="1:52" ht="12.75" x14ac:dyDescent="0.2">
      <c r="A42" s="242" t="s">
        <v>43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3">
        <f>AM40-AP41</f>
        <v>24744</v>
      </c>
      <c r="AN42" s="244"/>
      <c r="AO42" s="244"/>
      <c r="AP42" s="244"/>
      <c r="AQ42" s="244"/>
      <c r="AR42" s="244"/>
      <c r="AS42" s="103"/>
      <c r="AT42" s="103"/>
      <c r="AU42" s="103"/>
      <c r="AV42" s="103"/>
      <c r="AW42" s="103"/>
      <c r="AX42" s="103"/>
      <c r="AY42" s="103"/>
      <c r="AZ42" s="103"/>
    </row>
    <row r="43" spans="1:52" ht="15" thickBot="1" x14ac:dyDescent="0.25"/>
    <row r="44" spans="1:52" s="19" customFormat="1" ht="26.25" customHeight="1" x14ac:dyDescent="0.2">
      <c r="A44" s="68" t="s">
        <v>44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64"/>
      <c r="Y44" s="31"/>
      <c r="Z44" s="31"/>
      <c r="AA44" s="31"/>
      <c r="AB44" s="31"/>
      <c r="AC44" s="31"/>
      <c r="AD44" s="31"/>
      <c r="AE44" s="31"/>
      <c r="AF44" s="31"/>
      <c r="AG44" s="31"/>
      <c r="AH44" s="62"/>
      <c r="AI44" s="31"/>
      <c r="AJ44" s="50"/>
      <c r="AK44" s="31"/>
      <c r="AL44" s="55"/>
      <c r="AM44" s="37"/>
      <c r="AN44" s="31"/>
      <c r="AO44" s="31"/>
      <c r="AP44" s="37"/>
      <c r="AQ44" s="31"/>
      <c r="AR44" s="31"/>
      <c r="AS44" s="31"/>
      <c r="AT44" s="31"/>
      <c r="AU44" s="31"/>
      <c r="AV44" s="31"/>
      <c r="AW44" s="31"/>
      <c r="AX44" s="31"/>
      <c r="AY44" s="31"/>
      <c r="AZ44" s="32"/>
    </row>
    <row r="45" spans="1:52" s="160" customFormat="1" ht="14.25" customHeight="1" x14ac:dyDescent="0.2">
      <c r="A45" s="72" t="s">
        <v>143</v>
      </c>
      <c r="B45" s="72" t="s">
        <v>128</v>
      </c>
      <c r="C45" s="98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8"/>
      <c r="R45" s="98"/>
      <c r="S45" s="98" t="s">
        <v>236</v>
      </c>
      <c r="T45" s="73">
        <f>25000*3</f>
        <v>75000</v>
      </c>
      <c r="U45" s="99"/>
      <c r="V45" s="97" t="s">
        <v>162</v>
      </c>
      <c r="W45" s="2"/>
      <c r="X45" s="2">
        <v>53.9</v>
      </c>
      <c r="Y45" s="46"/>
      <c r="Z45" s="100"/>
      <c r="AA45" s="98"/>
      <c r="AB45" s="98"/>
      <c r="AC45" s="100"/>
      <c r="AD45" s="100"/>
      <c r="AE45" s="100"/>
      <c r="AF45" s="100"/>
      <c r="AG45" s="75">
        <v>44726</v>
      </c>
      <c r="AH45" s="75">
        <v>44726</v>
      </c>
      <c r="AI45" s="77">
        <v>44783</v>
      </c>
      <c r="AJ45" s="79">
        <v>44790</v>
      </c>
      <c r="AK45" s="79">
        <v>44790</v>
      </c>
      <c r="AL45" s="57" t="s">
        <v>31</v>
      </c>
      <c r="AM45" s="73">
        <f>25000*3</f>
        <v>75000</v>
      </c>
      <c r="AN45" s="96"/>
      <c r="AO45" s="96"/>
      <c r="AP45" s="73">
        <v>74280</v>
      </c>
      <c r="AQ45" s="96"/>
      <c r="AR45" s="96"/>
      <c r="AS45" s="98"/>
      <c r="AT45" s="98"/>
      <c r="AU45" s="98"/>
      <c r="AV45" s="98"/>
      <c r="AW45" s="98"/>
      <c r="AX45" s="98"/>
      <c r="AY45" s="98"/>
      <c r="AZ45" s="98"/>
    </row>
    <row r="46" spans="1:52" s="19" customFormat="1" ht="14.25" customHeight="1" x14ac:dyDescent="0.2">
      <c r="A46" s="72" t="s">
        <v>141</v>
      </c>
      <c r="B46" s="72" t="s">
        <v>190</v>
      </c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98" t="s">
        <v>236</v>
      </c>
      <c r="T46" s="73">
        <v>234600</v>
      </c>
      <c r="U46" s="41"/>
      <c r="V46" s="97" t="s">
        <v>162</v>
      </c>
      <c r="W46" s="42"/>
      <c r="X46" s="2">
        <v>53.9</v>
      </c>
      <c r="Y46" s="113"/>
      <c r="Z46" s="43"/>
      <c r="AA46" s="40"/>
      <c r="AB46" s="40"/>
      <c r="AC46" s="43"/>
      <c r="AD46" s="43"/>
      <c r="AE46" s="43"/>
      <c r="AF46" s="43"/>
      <c r="AG46" s="75">
        <v>44749</v>
      </c>
      <c r="AH46" s="75">
        <v>44749</v>
      </c>
      <c r="AI46" s="77">
        <v>44868</v>
      </c>
      <c r="AJ46" s="77">
        <v>44875</v>
      </c>
      <c r="AK46" s="77">
        <v>44875</v>
      </c>
      <c r="AL46" s="57" t="s">
        <v>31</v>
      </c>
      <c r="AM46" s="73">
        <v>234600</v>
      </c>
      <c r="AN46" s="44"/>
      <c r="AO46" s="44"/>
      <c r="AP46" s="73">
        <v>233425</v>
      </c>
      <c r="AQ46" s="44"/>
      <c r="AR46" s="44"/>
      <c r="AS46" s="40"/>
      <c r="AT46" s="40"/>
      <c r="AU46" s="40"/>
      <c r="AV46" s="40"/>
      <c r="AW46" s="40"/>
      <c r="AX46" s="40"/>
      <c r="AY46" s="40"/>
      <c r="AZ46" s="45"/>
    </row>
    <row r="47" spans="1:52" s="19" customFormat="1" ht="14.25" customHeight="1" x14ac:dyDescent="0.2">
      <c r="A47" s="72" t="s">
        <v>141</v>
      </c>
      <c r="B47" s="153" t="s">
        <v>190</v>
      </c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0"/>
      <c r="R47" s="40"/>
      <c r="S47" s="98" t="s">
        <v>236</v>
      </c>
      <c r="T47" s="73">
        <v>234600</v>
      </c>
      <c r="U47" s="41"/>
      <c r="V47" s="97" t="s">
        <v>162</v>
      </c>
      <c r="W47" s="42"/>
      <c r="X47" s="2">
        <v>53.9</v>
      </c>
      <c r="Y47" s="46"/>
      <c r="Z47" s="43"/>
      <c r="AA47" s="40"/>
      <c r="AB47" s="40"/>
      <c r="AC47" s="43"/>
      <c r="AD47" s="43"/>
      <c r="AE47" s="43"/>
      <c r="AF47" s="43"/>
      <c r="AG47" s="75">
        <v>44762</v>
      </c>
      <c r="AH47" s="75">
        <v>44762</v>
      </c>
      <c r="AI47" s="77">
        <v>44897</v>
      </c>
      <c r="AJ47" s="77">
        <v>44904</v>
      </c>
      <c r="AK47" s="77">
        <v>44904</v>
      </c>
      <c r="AL47" s="57" t="s">
        <v>31</v>
      </c>
      <c r="AM47" s="73">
        <v>234600</v>
      </c>
      <c r="AN47" s="44"/>
      <c r="AO47" s="44"/>
      <c r="AP47" s="73">
        <v>233355</v>
      </c>
      <c r="AQ47" s="44"/>
      <c r="AR47" s="44"/>
      <c r="AS47" s="40"/>
      <c r="AT47" s="40"/>
      <c r="AU47" s="40"/>
      <c r="AV47" s="40"/>
      <c r="AW47" s="40"/>
      <c r="AX47" s="40"/>
      <c r="AY47" s="40"/>
      <c r="AZ47" s="45"/>
    </row>
    <row r="48" spans="1:52" s="19" customFormat="1" ht="14.25" customHeight="1" x14ac:dyDescent="0.2">
      <c r="A48" s="72" t="s">
        <v>152</v>
      </c>
      <c r="B48" s="72" t="s">
        <v>124</v>
      </c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0"/>
      <c r="R48" s="40"/>
      <c r="S48" s="98" t="s">
        <v>236</v>
      </c>
      <c r="T48" s="73">
        <v>25000</v>
      </c>
      <c r="U48" s="41"/>
      <c r="V48" s="165" t="s">
        <v>162</v>
      </c>
      <c r="W48" s="42"/>
      <c r="X48" s="2">
        <v>53.9</v>
      </c>
      <c r="Y48" s="46"/>
      <c r="Z48" s="43"/>
      <c r="AA48" s="40"/>
      <c r="AB48" s="40"/>
      <c r="AC48" s="43"/>
      <c r="AD48" s="43"/>
      <c r="AE48" s="43"/>
      <c r="AF48" s="43"/>
      <c r="AG48" s="75">
        <v>44846</v>
      </c>
      <c r="AH48" s="75">
        <v>44846</v>
      </c>
      <c r="AI48" s="77">
        <v>44909</v>
      </c>
      <c r="AJ48" s="77">
        <v>44916</v>
      </c>
      <c r="AK48" s="77">
        <v>44916</v>
      </c>
      <c r="AL48" s="57" t="s">
        <v>31</v>
      </c>
      <c r="AM48" s="73">
        <v>25000</v>
      </c>
      <c r="AN48" s="44"/>
      <c r="AO48" s="44"/>
      <c r="AP48" s="73">
        <v>24600</v>
      </c>
      <c r="AQ48" s="44"/>
      <c r="AR48" s="44"/>
      <c r="AS48" s="40"/>
      <c r="AT48" s="40"/>
      <c r="AU48" s="40"/>
      <c r="AV48" s="40"/>
      <c r="AW48" s="40"/>
      <c r="AX48" s="40"/>
      <c r="AY48" s="40"/>
      <c r="AZ48" s="45"/>
    </row>
    <row r="49" spans="1:52" s="19" customFormat="1" ht="14.25" customHeight="1" x14ac:dyDescent="0.2">
      <c r="A49" s="72" t="s">
        <v>143</v>
      </c>
      <c r="B49" s="72" t="s">
        <v>128</v>
      </c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0"/>
      <c r="R49" s="40"/>
      <c r="S49" s="98" t="s">
        <v>236</v>
      </c>
      <c r="T49" s="73">
        <v>115400</v>
      </c>
      <c r="U49" s="41"/>
      <c r="V49" s="165" t="s">
        <v>162</v>
      </c>
      <c r="W49" s="42"/>
      <c r="X49" s="2">
        <v>53.9</v>
      </c>
      <c r="Y49" s="46"/>
      <c r="Z49" s="43"/>
      <c r="AA49" s="40"/>
      <c r="AB49" s="40"/>
      <c r="AC49" s="43"/>
      <c r="AD49" s="43"/>
      <c r="AE49" s="43"/>
      <c r="AF49" s="43"/>
      <c r="AG49" s="75">
        <v>44846</v>
      </c>
      <c r="AH49" s="75">
        <v>44846</v>
      </c>
      <c r="AI49" s="77">
        <v>44890</v>
      </c>
      <c r="AJ49" s="77">
        <v>44897</v>
      </c>
      <c r="AK49" s="77">
        <v>44897</v>
      </c>
      <c r="AL49" s="57" t="s">
        <v>31</v>
      </c>
      <c r="AM49" s="73">
        <v>115400</v>
      </c>
      <c r="AN49" s="44"/>
      <c r="AO49" s="44"/>
      <c r="AP49" s="73">
        <v>114525</v>
      </c>
      <c r="AQ49" s="44"/>
      <c r="AR49" s="44"/>
      <c r="AS49" s="40"/>
      <c r="AT49" s="40"/>
      <c r="AU49" s="40"/>
      <c r="AV49" s="40"/>
      <c r="AW49" s="40"/>
      <c r="AX49" s="40"/>
      <c r="AY49" s="40"/>
      <c r="AZ49" s="45"/>
    </row>
    <row r="50" spans="1:52" s="19" customFormat="1" ht="14.25" customHeight="1" x14ac:dyDescent="0.2">
      <c r="A50" s="72" t="s">
        <v>145</v>
      </c>
      <c r="B50" s="72" t="s">
        <v>201</v>
      </c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0"/>
      <c r="R50" s="40"/>
      <c r="S50" s="98" t="s">
        <v>236</v>
      </c>
      <c r="T50" s="73">
        <v>25000</v>
      </c>
      <c r="U50" s="41"/>
      <c r="V50" s="97" t="s">
        <v>162</v>
      </c>
      <c r="W50" s="42"/>
      <c r="X50" s="2">
        <v>53.9</v>
      </c>
      <c r="Y50" s="46"/>
      <c r="Z50" s="43"/>
      <c r="AA50" s="40"/>
      <c r="AB50" s="40"/>
      <c r="AC50" s="43"/>
      <c r="AD50" s="43"/>
      <c r="AE50" s="43"/>
      <c r="AF50" s="43"/>
      <c r="AG50" s="75">
        <v>44862</v>
      </c>
      <c r="AH50" s="75">
        <v>44862</v>
      </c>
      <c r="AI50" s="77">
        <v>44886</v>
      </c>
      <c r="AJ50" s="148">
        <v>44893</v>
      </c>
      <c r="AK50" s="148">
        <v>44893</v>
      </c>
      <c r="AL50" s="57" t="s">
        <v>31</v>
      </c>
      <c r="AM50" s="73">
        <v>25000</v>
      </c>
      <c r="AN50" s="44"/>
      <c r="AO50" s="44"/>
      <c r="AP50" s="73">
        <v>24500</v>
      </c>
      <c r="AQ50" s="44"/>
      <c r="AR50" s="44"/>
      <c r="AS50" s="40"/>
      <c r="AT50" s="40"/>
      <c r="AU50" s="40"/>
      <c r="AV50" s="40"/>
      <c r="AW50" s="40"/>
      <c r="AX50" s="40"/>
      <c r="AY50" s="40"/>
      <c r="AZ50" s="45"/>
    </row>
    <row r="51" spans="1:52" s="19" customFormat="1" ht="14.25" customHeight="1" x14ac:dyDescent="0.2">
      <c r="A51" s="72" t="s">
        <v>137</v>
      </c>
      <c r="B51" s="72" t="s">
        <v>209</v>
      </c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98" t="s">
        <v>236</v>
      </c>
      <c r="T51" s="73">
        <v>10000</v>
      </c>
      <c r="U51" s="41"/>
      <c r="V51" s="97" t="s">
        <v>162</v>
      </c>
      <c r="W51" s="42"/>
      <c r="X51" s="2">
        <v>53.9</v>
      </c>
      <c r="Y51" s="46"/>
      <c r="Z51" s="43"/>
      <c r="AA51" s="40"/>
      <c r="AB51" s="40"/>
      <c r="AC51" s="43"/>
      <c r="AD51" s="43"/>
      <c r="AE51" s="43"/>
      <c r="AF51" s="43"/>
      <c r="AG51" s="75">
        <v>44862</v>
      </c>
      <c r="AH51" s="75">
        <v>44862</v>
      </c>
      <c r="AI51" s="77">
        <v>44907</v>
      </c>
      <c r="AJ51" s="148">
        <v>44914</v>
      </c>
      <c r="AK51" s="148">
        <v>44914</v>
      </c>
      <c r="AL51" s="57" t="s">
        <v>31</v>
      </c>
      <c r="AM51" s="73">
        <v>10000</v>
      </c>
      <c r="AN51" s="44"/>
      <c r="AO51" s="44"/>
      <c r="AP51" s="73">
        <v>9643</v>
      </c>
      <c r="AQ51" s="44"/>
      <c r="AR51" s="44"/>
      <c r="AS51" s="40"/>
      <c r="AT51" s="40"/>
      <c r="AU51" s="40"/>
      <c r="AV51" s="40"/>
      <c r="AW51" s="40"/>
      <c r="AX51" s="40"/>
      <c r="AY51" s="40"/>
      <c r="AZ51" s="45"/>
    </row>
    <row r="52" spans="1:52" s="19" customFormat="1" ht="14.25" customHeight="1" x14ac:dyDescent="0.2">
      <c r="A52" s="72" t="s">
        <v>141</v>
      </c>
      <c r="B52" s="72" t="s">
        <v>130</v>
      </c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0"/>
      <c r="R52" s="40"/>
      <c r="S52" s="98" t="s">
        <v>236</v>
      </c>
      <c r="T52" s="73">
        <v>234600</v>
      </c>
      <c r="U52" s="41"/>
      <c r="V52" s="97" t="s">
        <v>162</v>
      </c>
      <c r="W52" s="42"/>
      <c r="X52" s="2">
        <v>53.9</v>
      </c>
      <c r="Y52" s="46"/>
      <c r="Z52" s="43"/>
      <c r="AA52" s="40"/>
      <c r="AB52" s="40"/>
      <c r="AC52" s="43"/>
      <c r="AD52" s="43"/>
      <c r="AE52" s="43"/>
      <c r="AF52" s="43"/>
      <c r="AG52" s="75">
        <v>44867</v>
      </c>
      <c r="AH52" s="75">
        <v>44867</v>
      </c>
      <c r="AI52" s="78"/>
      <c r="AJ52" s="156"/>
      <c r="AK52" s="156"/>
      <c r="AL52" s="57" t="s">
        <v>31</v>
      </c>
      <c r="AM52" s="73">
        <v>234600</v>
      </c>
      <c r="AN52" s="44"/>
      <c r="AO52" s="44"/>
      <c r="AP52" s="73">
        <v>233540</v>
      </c>
      <c r="AQ52" s="44"/>
      <c r="AR52" s="44"/>
      <c r="AS52" s="40"/>
      <c r="AT52" s="40"/>
      <c r="AU52" s="40"/>
      <c r="AV52" s="40"/>
      <c r="AW52" s="40"/>
      <c r="AX52" s="40"/>
      <c r="AY52" s="40"/>
      <c r="AZ52" s="45"/>
    </row>
    <row r="53" spans="1:52" s="19" customFormat="1" ht="14.25" customHeight="1" x14ac:dyDescent="0.2">
      <c r="A53" s="72" t="s">
        <v>142</v>
      </c>
      <c r="B53" s="72" t="s">
        <v>116</v>
      </c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0"/>
      <c r="R53" s="40"/>
      <c r="S53" s="98" t="s">
        <v>236</v>
      </c>
      <c r="T53" s="73">
        <v>6000</v>
      </c>
      <c r="U53" s="41"/>
      <c r="V53" s="97" t="s">
        <v>162</v>
      </c>
      <c r="W53" s="42"/>
      <c r="X53" s="2">
        <v>53.9</v>
      </c>
      <c r="Y53" s="46"/>
      <c r="Z53" s="43"/>
      <c r="AA53" s="40"/>
      <c r="AB53" s="40"/>
      <c r="AC53" s="43"/>
      <c r="AD53" s="43"/>
      <c r="AE53" s="43"/>
      <c r="AF53" s="43"/>
      <c r="AG53" s="75">
        <v>44904</v>
      </c>
      <c r="AH53" s="75">
        <v>44904</v>
      </c>
      <c r="AI53" s="78"/>
      <c r="AJ53" s="78"/>
      <c r="AK53" s="78"/>
      <c r="AL53" s="57" t="s">
        <v>31</v>
      </c>
      <c r="AM53" s="73">
        <v>6000</v>
      </c>
      <c r="AN53" s="44"/>
      <c r="AO53" s="44"/>
      <c r="AP53" s="73">
        <v>5964</v>
      </c>
      <c r="AQ53" s="44"/>
      <c r="AR53" s="44"/>
      <c r="AS53" s="40"/>
      <c r="AT53" s="40"/>
      <c r="AU53" s="40"/>
      <c r="AV53" s="40"/>
      <c r="AW53" s="40"/>
      <c r="AX53" s="40"/>
      <c r="AY53" s="40"/>
      <c r="AZ53" s="45"/>
    </row>
    <row r="54" spans="1:52" s="19" customFormat="1" ht="14.25" customHeight="1" x14ac:dyDescent="0.2">
      <c r="A54" s="72" t="s">
        <v>152</v>
      </c>
      <c r="B54" s="72" t="s">
        <v>129</v>
      </c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0"/>
      <c r="R54" s="40"/>
      <c r="S54" s="98" t="s">
        <v>236</v>
      </c>
      <c r="T54" s="73">
        <v>425383</v>
      </c>
      <c r="U54" s="41"/>
      <c r="V54" s="97" t="s">
        <v>161</v>
      </c>
      <c r="W54" s="42"/>
      <c r="X54" s="2">
        <v>53.9</v>
      </c>
      <c r="Y54" s="46"/>
      <c r="Z54" s="43"/>
      <c r="AA54" s="40"/>
      <c r="AB54" s="40"/>
      <c r="AC54" s="43"/>
      <c r="AD54" s="43"/>
      <c r="AE54" s="43"/>
      <c r="AF54" s="43"/>
      <c r="AG54" s="75">
        <v>44642</v>
      </c>
      <c r="AH54" s="75">
        <v>44642</v>
      </c>
      <c r="AI54" s="77">
        <v>44760</v>
      </c>
      <c r="AJ54" s="79">
        <v>44767</v>
      </c>
      <c r="AK54" s="79">
        <v>44767</v>
      </c>
      <c r="AL54" s="57" t="s">
        <v>31</v>
      </c>
      <c r="AM54" s="73">
        <v>425383</v>
      </c>
      <c r="AN54" s="44"/>
      <c r="AO54" s="44"/>
      <c r="AP54" s="73">
        <v>423360</v>
      </c>
      <c r="AQ54" s="44"/>
      <c r="AR54" s="44"/>
      <c r="AS54" s="40"/>
      <c r="AT54" s="40"/>
      <c r="AU54" s="40"/>
      <c r="AV54" s="40"/>
      <c r="AW54" s="40"/>
      <c r="AX54" s="40"/>
      <c r="AY54" s="40"/>
      <c r="AZ54" s="45"/>
    </row>
    <row r="55" spans="1:52" s="19" customFormat="1" ht="14.25" customHeight="1" x14ac:dyDescent="0.2">
      <c r="A55" s="72" t="s">
        <v>142</v>
      </c>
      <c r="B55" s="72" t="s">
        <v>116</v>
      </c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0"/>
      <c r="R55" s="40"/>
      <c r="S55" s="98" t="s">
        <v>236</v>
      </c>
      <c r="T55" s="73">
        <v>248000</v>
      </c>
      <c r="U55" s="41"/>
      <c r="V55" s="97" t="s">
        <v>161</v>
      </c>
      <c r="W55" s="42"/>
      <c r="X55" s="2">
        <v>53.9</v>
      </c>
      <c r="Y55" s="46"/>
      <c r="Z55" s="43"/>
      <c r="AA55" s="40"/>
      <c r="AB55" s="40"/>
      <c r="AC55" s="43"/>
      <c r="AD55" s="43"/>
      <c r="AE55" s="43"/>
      <c r="AF55" s="43"/>
      <c r="AG55" s="75">
        <v>44642</v>
      </c>
      <c r="AH55" s="75">
        <v>44642</v>
      </c>
      <c r="AI55" s="77">
        <v>44704</v>
      </c>
      <c r="AJ55" s="77">
        <v>44708</v>
      </c>
      <c r="AK55" s="77">
        <v>44708</v>
      </c>
      <c r="AL55" s="57" t="s">
        <v>31</v>
      </c>
      <c r="AM55" s="73">
        <v>248000</v>
      </c>
      <c r="AN55" s="44"/>
      <c r="AO55" s="44"/>
      <c r="AP55" s="73">
        <v>245520</v>
      </c>
      <c r="AQ55" s="44"/>
      <c r="AR55" s="44"/>
      <c r="AS55" s="40"/>
      <c r="AT55" s="40"/>
      <c r="AU55" s="40"/>
      <c r="AV55" s="40"/>
      <c r="AW55" s="40"/>
      <c r="AX55" s="40"/>
      <c r="AY55" s="40"/>
      <c r="AZ55" s="45"/>
    </row>
    <row r="56" spans="1:52" s="19" customFormat="1" ht="14.25" customHeight="1" x14ac:dyDescent="0.2">
      <c r="A56" s="72" t="s">
        <v>134</v>
      </c>
      <c r="B56" s="72" t="s">
        <v>110</v>
      </c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0"/>
      <c r="R56" s="40"/>
      <c r="S56" s="98" t="s">
        <v>236</v>
      </c>
      <c r="T56" s="73">
        <v>25000</v>
      </c>
      <c r="U56" s="41"/>
      <c r="V56" s="97" t="s">
        <v>161</v>
      </c>
      <c r="W56" s="42"/>
      <c r="X56" s="2">
        <v>53.9</v>
      </c>
      <c r="Y56" s="46"/>
      <c r="Z56" s="43"/>
      <c r="AA56" s="40"/>
      <c r="AB56" s="40"/>
      <c r="AC56" s="43"/>
      <c r="AD56" s="43"/>
      <c r="AE56" s="43"/>
      <c r="AF56" s="43"/>
      <c r="AG56" s="76">
        <v>44663</v>
      </c>
      <c r="AH56" s="76">
        <v>44663</v>
      </c>
      <c r="AI56" s="77">
        <v>44760</v>
      </c>
      <c r="AJ56" s="79">
        <v>44767</v>
      </c>
      <c r="AK56" s="79">
        <v>44767</v>
      </c>
      <c r="AL56" s="57" t="s">
        <v>31</v>
      </c>
      <c r="AM56" s="73">
        <v>25000</v>
      </c>
      <c r="AN56" s="44"/>
      <c r="AO56" s="44"/>
      <c r="AP56" s="73">
        <v>23910</v>
      </c>
      <c r="AQ56" s="44"/>
      <c r="AR56" s="44"/>
      <c r="AS56" s="40"/>
      <c r="AT56" s="40"/>
      <c r="AU56" s="40"/>
      <c r="AV56" s="40"/>
      <c r="AW56" s="40"/>
      <c r="AX56" s="40"/>
      <c r="AY56" s="40"/>
      <c r="AZ56" s="45"/>
    </row>
    <row r="57" spans="1:52" s="19" customFormat="1" ht="14.25" customHeight="1" x14ac:dyDescent="0.2">
      <c r="A57" s="72" t="s">
        <v>144</v>
      </c>
      <c r="B57" s="72" t="s">
        <v>126</v>
      </c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0"/>
      <c r="R57" s="40"/>
      <c r="S57" s="98" t="s">
        <v>236</v>
      </c>
      <c r="T57" s="73">
        <v>390000</v>
      </c>
      <c r="U57" s="41"/>
      <c r="V57" s="97" t="s">
        <v>161</v>
      </c>
      <c r="W57" s="42"/>
      <c r="X57" s="2">
        <v>53.9</v>
      </c>
      <c r="Y57" s="46"/>
      <c r="Z57" s="43"/>
      <c r="AA57" s="40"/>
      <c r="AB57" s="40"/>
      <c r="AC57" s="43"/>
      <c r="AD57" s="43"/>
      <c r="AE57" s="43"/>
      <c r="AF57" s="43"/>
      <c r="AG57" s="75">
        <v>44732</v>
      </c>
      <c r="AH57" s="75">
        <v>44732</v>
      </c>
      <c r="AI57" s="77">
        <v>44783</v>
      </c>
      <c r="AJ57" s="79">
        <v>44790</v>
      </c>
      <c r="AK57" s="79">
        <v>44790</v>
      </c>
      <c r="AL57" s="57" t="s">
        <v>31</v>
      </c>
      <c r="AM57" s="73">
        <v>390000</v>
      </c>
      <c r="AN57" s="44"/>
      <c r="AO57" s="44"/>
      <c r="AP57" s="73">
        <v>387900</v>
      </c>
      <c r="AQ57" s="44"/>
      <c r="AR57" s="44"/>
      <c r="AS57" s="40"/>
      <c r="AT57" s="40"/>
      <c r="AU57" s="40"/>
      <c r="AV57" s="40"/>
      <c r="AW57" s="40"/>
      <c r="AX57" s="40"/>
      <c r="AY57" s="40"/>
      <c r="AZ57" s="45"/>
    </row>
    <row r="58" spans="1:52" s="19" customFormat="1" ht="14.25" customHeight="1" x14ac:dyDescent="0.2">
      <c r="A58" s="72" t="s">
        <v>237</v>
      </c>
      <c r="B58" s="72" t="s">
        <v>158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0"/>
      <c r="R58" s="40"/>
      <c r="S58" s="98" t="s">
        <v>236</v>
      </c>
      <c r="T58" s="73">
        <v>13500</v>
      </c>
      <c r="U58" s="41"/>
      <c r="V58" s="97" t="s">
        <v>161</v>
      </c>
      <c r="W58" s="42"/>
      <c r="X58" s="2">
        <v>53.9</v>
      </c>
      <c r="Y58" s="46"/>
      <c r="Z58" s="43"/>
      <c r="AA58" s="40"/>
      <c r="AB58" s="40"/>
      <c r="AC58" s="43"/>
      <c r="AD58" s="43"/>
      <c r="AE58" s="43"/>
      <c r="AF58" s="43"/>
      <c r="AG58" s="75">
        <v>44735</v>
      </c>
      <c r="AH58" s="75">
        <v>44735</v>
      </c>
      <c r="AI58" s="77">
        <v>44852</v>
      </c>
      <c r="AJ58" s="79">
        <v>44855</v>
      </c>
      <c r="AK58" s="79">
        <v>44855</v>
      </c>
      <c r="AL58" s="57" t="s">
        <v>31</v>
      </c>
      <c r="AM58" s="73">
        <v>13500</v>
      </c>
      <c r="AN58" s="44"/>
      <c r="AO58" s="44"/>
      <c r="AP58" s="73">
        <v>12950</v>
      </c>
      <c r="AQ58" s="44"/>
      <c r="AR58" s="44"/>
      <c r="AS58" s="40"/>
      <c r="AT58" s="40"/>
      <c r="AU58" s="40"/>
      <c r="AV58" s="40"/>
      <c r="AW58" s="40"/>
      <c r="AX58" s="40"/>
      <c r="AY58" s="40"/>
      <c r="AZ58" s="45"/>
    </row>
    <row r="59" spans="1:52" s="19" customFormat="1" ht="14.25" customHeight="1" x14ac:dyDescent="0.2">
      <c r="A59" s="72" t="s">
        <v>238</v>
      </c>
      <c r="B59" s="72" t="s">
        <v>160</v>
      </c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0"/>
      <c r="R59" s="40"/>
      <c r="S59" s="98" t="s">
        <v>236</v>
      </c>
      <c r="T59" s="73">
        <v>89400</v>
      </c>
      <c r="U59" s="41"/>
      <c r="V59" s="97" t="s">
        <v>161</v>
      </c>
      <c r="W59" s="42"/>
      <c r="X59" s="2">
        <v>53.9</v>
      </c>
      <c r="Y59" s="46"/>
      <c r="Z59" s="43"/>
      <c r="AA59" s="40"/>
      <c r="AB59" s="40"/>
      <c r="AC59" s="43"/>
      <c r="AD59" s="43"/>
      <c r="AE59" s="43"/>
      <c r="AF59" s="43"/>
      <c r="AG59" s="75">
        <v>44739</v>
      </c>
      <c r="AH59" s="75">
        <v>44739</v>
      </c>
      <c r="AI59" s="77">
        <v>44789</v>
      </c>
      <c r="AJ59" s="79">
        <v>44796</v>
      </c>
      <c r="AK59" s="79">
        <v>44796</v>
      </c>
      <c r="AL59" s="57" t="s">
        <v>31</v>
      </c>
      <c r="AM59" s="73">
        <v>89400</v>
      </c>
      <c r="AN59" s="44"/>
      <c r="AO59" s="44"/>
      <c r="AP59" s="73">
        <v>88450</v>
      </c>
      <c r="AQ59" s="44"/>
      <c r="AR59" s="44"/>
      <c r="AS59" s="40"/>
      <c r="AT59" s="40"/>
      <c r="AU59" s="40"/>
      <c r="AV59" s="40"/>
      <c r="AW59" s="40"/>
      <c r="AX59" s="40"/>
      <c r="AY59" s="40"/>
      <c r="AZ59" s="45"/>
    </row>
    <row r="60" spans="1:52" s="19" customFormat="1" ht="14.25" customHeight="1" x14ac:dyDescent="0.2">
      <c r="A60" s="72" t="s">
        <v>152</v>
      </c>
      <c r="B60" s="72" t="s">
        <v>129</v>
      </c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0"/>
      <c r="R60" s="40"/>
      <c r="S60" s="98" t="s">
        <v>236</v>
      </c>
      <c r="T60" s="73">
        <v>189991</v>
      </c>
      <c r="U60" s="41"/>
      <c r="V60" s="97" t="s">
        <v>161</v>
      </c>
      <c r="W60" s="42"/>
      <c r="X60" s="2">
        <v>53.9</v>
      </c>
      <c r="Y60" s="46"/>
      <c r="Z60" s="43"/>
      <c r="AA60" s="40"/>
      <c r="AB60" s="40"/>
      <c r="AC60" s="43"/>
      <c r="AD60" s="43"/>
      <c r="AE60" s="43"/>
      <c r="AF60" s="43"/>
      <c r="AG60" s="75">
        <v>44739</v>
      </c>
      <c r="AH60" s="75">
        <v>44739</v>
      </c>
      <c r="AI60" s="77">
        <v>44841</v>
      </c>
      <c r="AJ60" s="79">
        <v>44848</v>
      </c>
      <c r="AK60" s="79">
        <v>44848</v>
      </c>
      <c r="AL60" s="57" t="s">
        <v>31</v>
      </c>
      <c r="AM60" s="73">
        <v>189991</v>
      </c>
      <c r="AN60" s="44"/>
      <c r="AO60" s="44"/>
      <c r="AP60" s="73">
        <v>187910</v>
      </c>
      <c r="AQ60" s="44"/>
      <c r="AR60" s="44"/>
      <c r="AS60" s="40"/>
      <c r="AT60" s="40"/>
      <c r="AU60" s="40"/>
      <c r="AV60" s="40"/>
      <c r="AW60" s="40"/>
      <c r="AX60" s="40"/>
      <c r="AY60" s="40"/>
      <c r="AZ60" s="45"/>
    </row>
    <row r="61" spans="1:52" s="19" customFormat="1" ht="14.25" customHeight="1" x14ac:dyDescent="0.2">
      <c r="A61" s="72" t="s">
        <v>145</v>
      </c>
      <c r="B61" s="72" t="s">
        <v>118</v>
      </c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0"/>
      <c r="R61" s="40"/>
      <c r="S61" s="98" t="s">
        <v>236</v>
      </c>
      <c r="T61" s="73">
        <v>405475</v>
      </c>
      <c r="U61" s="41"/>
      <c r="V61" s="97" t="s">
        <v>161</v>
      </c>
      <c r="W61" s="42"/>
      <c r="X61" s="2">
        <v>53.9</v>
      </c>
      <c r="Y61" s="46"/>
      <c r="Z61" s="43"/>
      <c r="AA61" s="40"/>
      <c r="AB61" s="40"/>
      <c r="AC61" s="43"/>
      <c r="AD61" s="43"/>
      <c r="AE61" s="43"/>
      <c r="AF61" s="43"/>
      <c r="AG61" s="75">
        <v>44740</v>
      </c>
      <c r="AH61" s="75">
        <v>44740</v>
      </c>
      <c r="AI61" s="77">
        <v>44851</v>
      </c>
      <c r="AJ61" s="79">
        <v>44858</v>
      </c>
      <c r="AK61" s="79">
        <v>44858</v>
      </c>
      <c r="AL61" s="57" t="s">
        <v>31</v>
      </c>
      <c r="AM61" s="73">
        <v>405475</v>
      </c>
      <c r="AN61" s="44"/>
      <c r="AO61" s="44"/>
      <c r="AP61" s="73">
        <v>402982</v>
      </c>
      <c r="AQ61" s="44"/>
      <c r="AR61" s="44"/>
      <c r="AS61" s="40"/>
      <c r="AT61" s="40"/>
      <c r="AU61" s="40"/>
      <c r="AV61" s="40"/>
      <c r="AW61" s="40"/>
      <c r="AX61" s="40"/>
      <c r="AY61" s="40"/>
      <c r="AZ61" s="45"/>
    </row>
    <row r="62" spans="1:52" s="19" customFormat="1" ht="14.25" customHeight="1" x14ac:dyDescent="0.2">
      <c r="A62" s="72" t="s">
        <v>146</v>
      </c>
      <c r="B62" s="72" t="s">
        <v>239</v>
      </c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0"/>
      <c r="R62" s="40"/>
      <c r="S62" s="98" t="s">
        <v>236</v>
      </c>
      <c r="T62" s="73">
        <v>869360</v>
      </c>
      <c r="U62" s="41"/>
      <c r="V62" s="97" t="s">
        <v>161</v>
      </c>
      <c r="W62" s="42"/>
      <c r="X62" s="2">
        <v>53.9</v>
      </c>
      <c r="Y62" s="46"/>
      <c r="Z62" s="43"/>
      <c r="AA62" s="40"/>
      <c r="AB62" s="40"/>
      <c r="AC62" s="43"/>
      <c r="AD62" s="43"/>
      <c r="AE62" s="43"/>
      <c r="AF62" s="43"/>
      <c r="AG62" s="75">
        <v>44749</v>
      </c>
      <c r="AH62" s="75">
        <v>44749</v>
      </c>
      <c r="AI62" s="77">
        <v>44886</v>
      </c>
      <c r="AJ62" s="77">
        <v>44894</v>
      </c>
      <c r="AK62" s="77">
        <v>44894</v>
      </c>
      <c r="AL62" s="57" t="s">
        <v>31</v>
      </c>
      <c r="AM62" s="73">
        <v>869360</v>
      </c>
      <c r="AN62" s="44"/>
      <c r="AO62" s="44"/>
      <c r="AP62" s="73">
        <v>865355</v>
      </c>
      <c r="AQ62" s="44"/>
      <c r="AR62" s="44"/>
      <c r="AS62" s="40"/>
      <c r="AT62" s="40"/>
      <c r="AU62" s="40"/>
      <c r="AV62" s="40"/>
      <c r="AW62" s="40"/>
      <c r="AX62" s="40"/>
      <c r="AY62" s="40"/>
      <c r="AZ62" s="45"/>
    </row>
    <row r="63" spans="1:52" s="19" customFormat="1" ht="14.25" customHeight="1" x14ac:dyDescent="0.2">
      <c r="A63" s="72" t="s">
        <v>215</v>
      </c>
      <c r="B63" s="72" t="s">
        <v>240</v>
      </c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0"/>
      <c r="R63" s="40"/>
      <c r="S63" s="98" t="s">
        <v>236</v>
      </c>
      <c r="T63" s="73">
        <v>72000</v>
      </c>
      <c r="U63" s="41"/>
      <c r="V63" s="97" t="s">
        <v>161</v>
      </c>
      <c r="W63" s="42"/>
      <c r="X63" s="2">
        <v>53.9</v>
      </c>
      <c r="Y63" s="46"/>
      <c r="Z63" s="43"/>
      <c r="AA63" s="40"/>
      <c r="AB63" s="40"/>
      <c r="AC63" s="43"/>
      <c r="AD63" s="43"/>
      <c r="AE63" s="43"/>
      <c r="AF63" s="43"/>
      <c r="AG63" s="75">
        <v>44749</v>
      </c>
      <c r="AH63" s="75">
        <v>44749</v>
      </c>
      <c r="AI63" s="77">
        <v>44819</v>
      </c>
      <c r="AJ63" s="77">
        <v>44825</v>
      </c>
      <c r="AK63" s="77">
        <v>44825</v>
      </c>
      <c r="AL63" s="57" t="s">
        <v>31</v>
      </c>
      <c r="AM63" s="73">
        <v>72000</v>
      </c>
      <c r="AN63" s="44"/>
      <c r="AO63" s="44"/>
      <c r="AP63" s="73">
        <v>71485</v>
      </c>
      <c r="AQ63" s="44"/>
      <c r="AR63" s="44"/>
      <c r="AS63" s="40"/>
      <c r="AT63" s="40"/>
      <c r="AU63" s="40"/>
      <c r="AV63" s="40"/>
      <c r="AW63" s="40"/>
      <c r="AX63" s="40"/>
      <c r="AY63" s="40"/>
      <c r="AZ63" s="45"/>
    </row>
    <row r="64" spans="1:52" s="19" customFormat="1" ht="14.25" customHeight="1" x14ac:dyDescent="0.2">
      <c r="A64" s="72" t="s">
        <v>145</v>
      </c>
      <c r="B64" s="72" t="s">
        <v>118</v>
      </c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0"/>
      <c r="R64" s="40"/>
      <c r="S64" s="98" t="s">
        <v>236</v>
      </c>
      <c r="T64" s="73">
        <v>15000</v>
      </c>
      <c r="U64" s="41"/>
      <c r="V64" s="97" t="s">
        <v>161</v>
      </c>
      <c r="W64" s="42"/>
      <c r="X64" s="2">
        <v>53.9</v>
      </c>
      <c r="Y64" s="46"/>
      <c r="Z64" s="43"/>
      <c r="AA64" s="40"/>
      <c r="AB64" s="40"/>
      <c r="AC64" s="43"/>
      <c r="AD64" s="43"/>
      <c r="AE64" s="43"/>
      <c r="AF64" s="43"/>
      <c r="AG64" s="75">
        <v>44754</v>
      </c>
      <c r="AH64" s="75">
        <v>44754</v>
      </c>
      <c r="AI64" s="77">
        <v>44789</v>
      </c>
      <c r="AJ64" s="77">
        <v>44795</v>
      </c>
      <c r="AK64" s="77">
        <v>44795</v>
      </c>
      <c r="AL64" s="57" t="s">
        <v>31</v>
      </c>
      <c r="AM64" s="73">
        <v>15000</v>
      </c>
      <c r="AN64" s="44"/>
      <c r="AO64" s="44"/>
      <c r="AP64" s="73">
        <v>14478</v>
      </c>
      <c r="AQ64" s="44"/>
      <c r="AR64" s="44"/>
      <c r="AS64" s="40"/>
      <c r="AT64" s="40"/>
      <c r="AU64" s="40"/>
      <c r="AV64" s="40"/>
      <c r="AW64" s="40"/>
      <c r="AX64" s="40"/>
      <c r="AY64" s="40"/>
      <c r="AZ64" s="45"/>
    </row>
    <row r="65" spans="1:52" s="19" customFormat="1" ht="14.25" customHeight="1" x14ac:dyDescent="0.2">
      <c r="A65" s="72" t="s">
        <v>145</v>
      </c>
      <c r="B65" s="72" t="s">
        <v>118</v>
      </c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0"/>
      <c r="R65" s="40"/>
      <c r="S65" s="98" t="s">
        <v>236</v>
      </c>
      <c r="T65" s="73">
        <v>97295</v>
      </c>
      <c r="U65" s="41"/>
      <c r="V65" s="97" t="s">
        <v>161</v>
      </c>
      <c r="W65" s="42"/>
      <c r="X65" s="2">
        <v>53.9</v>
      </c>
      <c r="Y65" s="46"/>
      <c r="Z65" s="43"/>
      <c r="AA65" s="40"/>
      <c r="AB65" s="40"/>
      <c r="AC65" s="43"/>
      <c r="AD65" s="43"/>
      <c r="AE65" s="43"/>
      <c r="AF65" s="43"/>
      <c r="AG65" s="75">
        <v>44754</v>
      </c>
      <c r="AH65" s="75">
        <v>44754</v>
      </c>
      <c r="AI65" s="77">
        <v>44834</v>
      </c>
      <c r="AJ65" s="77">
        <v>44840</v>
      </c>
      <c r="AK65" s="77">
        <v>44840</v>
      </c>
      <c r="AL65" s="57" t="s">
        <v>31</v>
      </c>
      <c r="AM65" s="73">
        <v>97295</v>
      </c>
      <c r="AN65" s="44"/>
      <c r="AO65" s="44"/>
      <c r="AP65" s="73">
        <v>96435</v>
      </c>
      <c r="AQ65" s="44"/>
      <c r="AR65" s="44"/>
      <c r="AS65" s="40"/>
      <c r="AT65" s="40"/>
      <c r="AU65" s="40"/>
      <c r="AV65" s="40"/>
      <c r="AW65" s="40"/>
      <c r="AX65" s="40"/>
      <c r="AY65" s="40"/>
      <c r="AZ65" s="45"/>
    </row>
    <row r="66" spans="1:52" s="19" customFormat="1" ht="14.25" customHeight="1" x14ac:dyDescent="0.2">
      <c r="A66" s="72" t="s">
        <v>145</v>
      </c>
      <c r="B66" s="153" t="s">
        <v>118</v>
      </c>
      <c r="C66" s="40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0"/>
      <c r="R66" s="40"/>
      <c r="S66" s="98" t="s">
        <v>236</v>
      </c>
      <c r="T66" s="73">
        <v>365475</v>
      </c>
      <c r="U66" s="41"/>
      <c r="V66" s="97" t="s">
        <v>161</v>
      </c>
      <c r="W66" s="42"/>
      <c r="X66" s="2">
        <v>53.9</v>
      </c>
      <c r="Y66" s="46"/>
      <c r="Z66" s="43"/>
      <c r="AA66" s="40"/>
      <c r="AB66" s="40"/>
      <c r="AC66" s="43"/>
      <c r="AD66" s="43"/>
      <c r="AE66" s="43"/>
      <c r="AF66" s="43"/>
      <c r="AG66" s="75">
        <v>44762</v>
      </c>
      <c r="AH66" s="75">
        <v>44762</v>
      </c>
      <c r="AI66" s="77">
        <v>44847</v>
      </c>
      <c r="AJ66" s="77">
        <v>44854</v>
      </c>
      <c r="AK66" s="77">
        <v>44854</v>
      </c>
      <c r="AL66" s="57" t="s">
        <v>31</v>
      </c>
      <c r="AM66" s="73">
        <v>365475</v>
      </c>
      <c r="AN66" s="44"/>
      <c r="AO66" s="44"/>
      <c r="AP66" s="73">
        <v>363482</v>
      </c>
      <c r="AQ66" s="44"/>
      <c r="AR66" s="44"/>
      <c r="AS66" s="40"/>
      <c r="AT66" s="40"/>
      <c r="AU66" s="40"/>
      <c r="AV66" s="40"/>
      <c r="AW66" s="40"/>
      <c r="AX66" s="40"/>
      <c r="AY66" s="40"/>
      <c r="AZ66" s="45"/>
    </row>
    <row r="67" spans="1:52" s="19" customFormat="1" ht="14.25" customHeight="1" x14ac:dyDescent="0.2">
      <c r="A67" s="72" t="s">
        <v>144</v>
      </c>
      <c r="B67" s="153" t="s">
        <v>235</v>
      </c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0"/>
      <c r="R67" s="40"/>
      <c r="S67" s="98" t="s">
        <v>236</v>
      </c>
      <c r="T67" s="73">
        <v>300000</v>
      </c>
      <c r="U67" s="41"/>
      <c r="V67" s="97" t="s">
        <v>161</v>
      </c>
      <c r="W67" s="42"/>
      <c r="X67" s="2">
        <v>53.9</v>
      </c>
      <c r="Y67" s="46"/>
      <c r="Z67" s="43"/>
      <c r="AA67" s="40"/>
      <c r="AB67" s="40"/>
      <c r="AC67" s="43"/>
      <c r="AD67" s="43"/>
      <c r="AE67" s="43"/>
      <c r="AF67" s="43"/>
      <c r="AG67" s="75">
        <v>44762</v>
      </c>
      <c r="AH67" s="75">
        <v>44762</v>
      </c>
      <c r="AI67" s="77">
        <v>44852</v>
      </c>
      <c r="AJ67" s="77">
        <v>44858</v>
      </c>
      <c r="AK67" s="77">
        <v>44858</v>
      </c>
      <c r="AL67" s="57" t="s">
        <v>31</v>
      </c>
      <c r="AM67" s="73">
        <v>300000</v>
      </c>
      <c r="AN67" s="44"/>
      <c r="AO67" s="44"/>
      <c r="AP67" s="73">
        <v>298310</v>
      </c>
      <c r="AQ67" s="44"/>
      <c r="AR67" s="44"/>
      <c r="AS67" s="40"/>
      <c r="AT67" s="40"/>
      <c r="AU67" s="40"/>
      <c r="AV67" s="40"/>
      <c r="AW67" s="40"/>
      <c r="AX67" s="40"/>
      <c r="AY67" s="40"/>
      <c r="AZ67" s="45"/>
    </row>
    <row r="68" spans="1:52" s="19" customFormat="1" ht="14.25" customHeight="1" x14ac:dyDescent="0.2">
      <c r="A68" s="72" t="s">
        <v>142</v>
      </c>
      <c r="B68" s="153" t="s">
        <v>214</v>
      </c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0"/>
      <c r="R68" s="40"/>
      <c r="S68" s="98" t="s">
        <v>236</v>
      </c>
      <c r="T68" s="73">
        <v>124000</v>
      </c>
      <c r="U68" s="41"/>
      <c r="V68" s="97" t="s">
        <v>161</v>
      </c>
      <c r="W68" s="42"/>
      <c r="X68" s="2">
        <v>53.9</v>
      </c>
      <c r="Y68" s="46"/>
      <c r="Z68" s="43"/>
      <c r="AA68" s="40"/>
      <c r="AB68" s="40"/>
      <c r="AC68" s="43"/>
      <c r="AD68" s="43"/>
      <c r="AE68" s="43"/>
      <c r="AF68" s="43"/>
      <c r="AG68" s="75">
        <v>44762</v>
      </c>
      <c r="AH68" s="75">
        <v>44762</v>
      </c>
      <c r="AI68" s="77">
        <v>44852</v>
      </c>
      <c r="AJ68" s="77">
        <v>44858</v>
      </c>
      <c r="AK68" s="77">
        <v>44858</v>
      </c>
      <c r="AL68" s="57" t="s">
        <v>31</v>
      </c>
      <c r="AM68" s="73">
        <v>124000</v>
      </c>
      <c r="AN68" s="44"/>
      <c r="AO68" s="44"/>
      <c r="AP68" s="73">
        <v>123008</v>
      </c>
      <c r="AQ68" s="44"/>
      <c r="AR68" s="44"/>
      <c r="AS68" s="40"/>
      <c r="AT68" s="40"/>
      <c r="AU68" s="40"/>
      <c r="AV68" s="40"/>
      <c r="AW68" s="40"/>
      <c r="AX68" s="40"/>
      <c r="AY68" s="40"/>
      <c r="AZ68" s="45"/>
    </row>
    <row r="69" spans="1:52" s="19" customFormat="1" ht="14.25" customHeight="1" x14ac:dyDescent="0.2">
      <c r="A69" s="72" t="s">
        <v>152</v>
      </c>
      <c r="B69" s="72" t="s">
        <v>129</v>
      </c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0"/>
      <c r="R69" s="40"/>
      <c r="S69" s="98" t="s">
        <v>236</v>
      </c>
      <c r="T69" s="73">
        <v>40000</v>
      </c>
      <c r="U69" s="41"/>
      <c r="V69" s="97" t="s">
        <v>161</v>
      </c>
      <c r="W69" s="42"/>
      <c r="X69" s="2">
        <v>53.9</v>
      </c>
      <c r="Y69" s="46"/>
      <c r="Z69" s="43"/>
      <c r="AA69" s="40"/>
      <c r="AB69" s="40"/>
      <c r="AC69" s="43"/>
      <c r="AD69" s="43"/>
      <c r="AE69" s="43"/>
      <c r="AF69" s="43"/>
      <c r="AG69" s="75">
        <v>44775</v>
      </c>
      <c r="AH69" s="75">
        <v>44775</v>
      </c>
      <c r="AI69" s="77">
        <v>44845</v>
      </c>
      <c r="AJ69" s="77">
        <v>44852</v>
      </c>
      <c r="AK69" s="77">
        <v>44852</v>
      </c>
      <c r="AL69" s="57" t="s">
        <v>31</v>
      </c>
      <c r="AM69" s="73">
        <v>40000</v>
      </c>
      <c r="AN69" s="44"/>
      <c r="AO69" s="44"/>
      <c r="AP69" s="73">
        <v>39490</v>
      </c>
      <c r="AQ69" s="44"/>
      <c r="AR69" s="44"/>
      <c r="AS69" s="40"/>
      <c r="AT69" s="40"/>
      <c r="AU69" s="40"/>
      <c r="AV69" s="40"/>
      <c r="AW69" s="40"/>
      <c r="AX69" s="40"/>
      <c r="AY69" s="40"/>
      <c r="AZ69" s="45"/>
    </row>
    <row r="70" spans="1:52" s="19" customFormat="1" ht="14.25" customHeight="1" x14ac:dyDescent="0.2">
      <c r="A70" s="72" t="s">
        <v>151</v>
      </c>
      <c r="B70" s="72" t="s">
        <v>241</v>
      </c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0"/>
      <c r="R70" s="40"/>
      <c r="S70" s="98" t="s">
        <v>236</v>
      </c>
      <c r="T70" s="73">
        <v>394110</v>
      </c>
      <c r="U70" s="41"/>
      <c r="V70" s="97" t="s">
        <v>161</v>
      </c>
      <c r="W70" s="42"/>
      <c r="X70" s="2">
        <v>53.9</v>
      </c>
      <c r="Y70" s="46"/>
      <c r="Z70" s="43"/>
      <c r="AA70" s="40"/>
      <c r="AB70" s="40"/>
      <c r="AC70" s="43"/>
      <c r="AD70" s="43"/>
      <c r="AE70" s="43"/>
      <c r="AF70" s="43"/>
      <c r="AG70" s="75">
        <v>44775</v>
      </c>
      <c r="AH70" s="75">
        <v>44775</v>
      </c>
      <c r="AI70" s="77">
        <v>44845</v>
      </c>
      <c r="AJ70" s="77">
        <v>44852</v>
      </c>
      <c r="AK70" s="77">
        <v>44852</v>
      </c>
      <c r="AL70" s="57" t="s">
        <v>31</v>
      </c>
      <c r="AM70" s="73">
        <v>394110</v>
      </c>
      <c r="AN70" s="44"/>
      <c r="AO70" s="44"/>
      <c r="AP70" s="73">
        <v>392566</v>
      </c>
      <c r="AQ70" s="44"/>
      <c r="AR70" s="44"/>
      <c r="AS70" s="40"/>
      <c r="AT70" s="40"/>
      <c r="AU70" s="40"/>
      <c r="AV70" s="40"/>
      <c r="AW70" s="40"/>
      <c r="AX70" s="40"/>
      <c r="AY70" s="40"/>
      <c r="AZ70" s="45"/>
    </row>
    <row r="71" spans="1:52" s="19" customFormat="1" ht="14.25" customHeight="1" x14ac:dyDescent="0.2">
      <c r="A71" s="72" t="s">
        <v>151</v>
      </c>
      <c r="B71" s="72" t="s">
        <v>241</v>
      </c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0"/>
      <c r="R71" s="40"/>
      <c r="S71" s="98" t="s">
        <v>236</v>
      </c>
      <c r="T71" s="73">
        <f>359330+367330</f>
        <v>726660</v>
      </c>
      <c r="U71" s="41"/>
      <c r="V71" s="97" t="s">
        <v>161</v>
      </c>
      <c r="W71" s="42"/>
      <c r="X71" s="2">
        <v>53.9</v>
      </c>
      <c r="Y71" s="46"/>
      <c r="Z71" s="43"/>
      <c r="AA71" s="40"/>
      <c r="AB71" s="40"/>
      <c r="AC71" s="43"/>
      <c r="AD71" s="43"/>
      <c r="AE71" s="43"/>
      <c r="AF71" s="43"/>
      <c r="AG71" s="75">
        <v>44775</v>
      </c>
      <c r="AH71" s="75">
        <v>44775</v>
      </c>
      <c r="AI71" s="77">
        <v>44851</v>
      </c>
      <c r="AJ71" s="77">
        <v>44858</v>
      </c>
      <c r="AK71" s="77">
        <v>44858</v>
      </c>
      <c r="AL71" s="57" t="s">
        <v>31</v>
      </c>
      <c r="AM71" s="73">
        <f>359330+367330</f>
        <v>726660</v>
      </c>
      <c r="AN71" s="44"/>
      <c r="AO71" s="44"/>
      <c r="AP71" s="73">
        <v>724087</v>
      </c>
      <c r="AQ71" s="44"/>
      <c r="AR71" s="44"/>
      <c r="AS71" s="40"/>
      <c r="AT71" s="40"/>
      <c r="AU71" s="40"/>
      <c r="AV71" s="40"/>
      <c r="AW71" s="40"/>
      <c r="AX71" s="40"/>
      <c r="AY71" s="40"/>
      <c r="AZ71" s="45"/>
    </row>
    <row r="72" spans="1:52" s="19" customFormat="1" ht="14.25" customHeight="1" x14ac:dyDescent="0.2">
      <c r="A72" s="72" t="s">
        <v>166</v>
      </c>
      <c r="B72" s="72" t="s">
        <v>242</v>
      </c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0"/>
      <c r="R72" s="40"/>
      <c r="S72" s="98" t="s">
        <v>236</v>
      </c>
      <c r="T72" s="73">
        <v>29998</v>
      </c>
      <c r="U72" s="41"/>
      <c r="V72" s="97" t="s">
        <v>161</v>
      </c>
      <c r="W72" s="42"/>
      <c r="X72" s="2">
        <v>53.9</v>
      </c>
      <c r="Y72" s="46"/>
      <c r="Z72" s="43"/>
      <c r="AA72" s="40"/>
      <c r="AB72" s="40"/>
      <c r="AC72" s="43"/>
      <c r="AD72" s="43"/>
      <c r="AE72" s="43"/>
      <c r="AF72" s="43"/>
      <c r="AG72" s="75">
        <v>44832</v>
      </c>
      <c r="AH72" s="75">
        <v>44832</v>
      </c>
      <c r="AI72" s="77">
        <v>44886</v>
      </c>
      <c r="AJ72" s="77">
        <v>44893</v>
      </c>
      <c r="AK72" s="77">
        <v>44893</v>
      </c>
      <c r="AL72" s="57" t="s">
        <v>31</v>
      </c>
      <c r="AM72" s="73">
        <v>29998</v>
      </c>
      <c r="AN72" s="44"/>
      <c r="AO72" s="44"/>
      <c r="AP72" s="73">
        <v>29440</v>
      </c>
      <c r="AQ72" s="44"/>
      <c r="AR72" s="44"/>
      <c r="AS72" s="40"/>
      <c r="AT72" s="40"/>
      <c r="AU72" s="40"/>
      <c r="AV72" s="40"/>
      <c r="AW72" s="40"/>
      <c r="AX72" s="40"/>
      <c r="AY72" s="40"/>
      <c r="AZ72" s="45"/>
    </row>
    <row r="73" spans="1:52" s="19" customFormat="1" ht="14.25" customHeight="1" x14ac:dyDescent="0.2">
      <c r="A73" s="72" t="s">
        <v>151</v>
      </c>
      <c r="B73" s="72" t="s">
        <v>243</v>
      </c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0"/>
      <c r="R73" s="40"/>
      <c r="S73" s="98" t="s">
        <v>236</v>
      </c>
      <c r="T73" s="73">
        <v>386190</v>
      </c>
      <c r="U73" s="41"/>
      <c r="V73" s="97" t="s">
        <v>161</v>
      </c>
      <c r="W73" s="42"/>
      <c r="X73" s="2">
        <v>53.9</v>
      </c>
      <c r="Y73" s="46"/>
      <c r="Z73" s="43"/>
      <c r="AA73" s="40"/>
      <c r="AB73" s="40"/>
      <c r="AC73" s="43"/>
      <c r="AD73" s="43"/>
      <c r="AE73" s="43"/>
      <c r="AF73" s="43"/>
      <c r="AG73" s="75">
        <v>44832</v>
      </c>
      <c r="AH73" s="75">
        <v>44832</v>
      </c>
      <c r="AI73" s="75">
        <v>44874</v>
      </c>
      <c r="AJ73" s="75">
        <v>44881</v>
      </c>
      <c r="AK73" s="75">
        <v>44881</v>
      </c>
      <c r="AL73" s="57" t="s">
        <v>31</v>
      </c>
      <c r="AM73" s="73">
        <v>386190</v>
      </c>
      <c r="AN73" s="44"/>
      <c r="AO73" s="44"/>
      <c r="AP73" s="73">
        <v>384622</v>
      </c>
      <c r="AQ73" s="44"/>
      <c r="AR73" s="44"/>
      <c r="AS73" s="40"/>
      <c r="AT73" s="40"/>
      <c r="AU73" s="40"/>
      <c r="AV73" s="40"/>
      <c r="AW73" s="40"/>
      <c r="AX73" s="40"/>
      <c r="AY73" s="40"/>
      <c r="AZ73" s="45"/>
    </row>
    <row r="74" spans="1:52" s="19" customFormat="1" ht="14.25" customHeight="1" x14ac:dyDescent="0.2">
      <c r="A74" s="72" t="s">
        <v>142</v>
      </c>
      <c r="B74" s="72" t="s">
        <v>116</v>
      </c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0"/>
      <c r="R74" s="40"/>
      <c r="S74" s="98" t="s">
        <v>236</v>
      </c>
      <c r="T74" s="73">
        <v>126000</v>
      </c>
      <c r="U74" s="41"/>
      <c r="V74" s="97" t="s">
        <v>161</v>
      </c>
      <c r="W74" s="42"/>
      <c r="X74" s="2">
        <v>53.9</v>
      </c>
      <c r="Y74" s="46"/>
      <c r="Z74" s="43"/>
      <c r="AA74" s="40"/>
      <c r="AB74" s="40"/>
      <c r="AC74" s="43"/>
      <c r="AD74" s="43"/>
      <c r="AE74" s="43"/>
      <c r="AF74" s="43"/>
      <c r="AG74" s="75">
        <v>44832</v>
      </c>
      <c r="AH74" s="75">
        <v>44832</v>
      </c>
      <c r="AI74" s="77">
        <v>44881</v>
      </c>
      <c r="AJ74" s="77">
        <v>44888</v>
      </c>
      <c r="AK74" s="77">
        <v>44888</v>
      </c>
      <c r="AL74" s="57" t="s">
        <v>31</v>
      </c>
      <c r="AM74" s="73">
        <v>126000</v>
      </c>
      <c r="AN74" s="44"/>
      <c r="AO74" s="44"/>
      <c r="AP74" s="73">
        <v>124992</v>
      </c>
      <c r="AQ74" s="44"/>
      <c r="AR74" s="44"/>
      <c r="AS74" s="40"/>
      <c r="AT74" s="40"/>
      <c r="AU74" s="40"/>
      <c r="AV74" s="40"/>
      <c r="AW74" s="40"/>
      <c r="AX74" s="40"/>
      <c r="AY74" s="40"/>
      <c r="AZ74" s="45"/>
    </row>
    <row r="75" spans="1:52" s="19" customFormat="1" ht="14.25" customHeight="1" x14ac:dyDescent="0.2">
      <c r="A75" s="72" t="s">
        <v>154</v>
      </c>
      <c r="B75" s="72" t="s">
        <v>225</v>
      </c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0"/>
      <c r="R75" s="40"/>
      <c r="S75" s="98" t="s">
        <v>236</v>
      </c>
      <c r="T75" s="73">
        <v>40114</v>
      </c>
      <c r="U75" s="41"/>
      <c r="V75" s="97" t="s">
        <v>161</v>
      </c>
      <c r="W75" s="42"/>
      <c r="X75" s="2">
        <v>53.9</v>
      </c>
      <c r="Y75" s="46"/>
      <c r="Z75" s="43"/>
      <c r="AA75" s="40"/>
      <c r="AB75" s="40"/>
      <c r="AC75" s="43"/>
      <c r="AD75" s="43"/>
      <c r="AE75" s="43"/>
      <c r="AF75" s="43"/>
      <c r="AG75" s="75">
        <v>44875</v>
      </c>
      <c r="AH75" s="75">
        <v>44875</v>
      </c>
      <c r="AI75" s="78"/>
      <c r="AJ75" s="78"/>
      <c r="AK75" s="78"/>
      <c r="AL75" s="57" t="s">
        <v>31</v>
      </c>
      <c r="AM75" s="73">
        <v>40114</v>
      </c>
      <c r="AN75" s="44"/>
      <c r="AO75" s="44"/>
      <c r="AP75" s="73">
        <v>39755</v>
      </c>
      <c r="AQ75" s="44"/>
      <c r="AR75" s="44"/>
      <c r="AS75" s="40"/>
      <c r="AT75" s="40"/>
      <c r="AU75" s="40"/>
      <c r="AV75" s="40"/>
      <c r="AW75" s="40"/>
      <c r="AX75" s="40"/>
      <c r="AY75" s="40"/>
      <c r="AZ75" s="45"/>
    </row>
    <row r="76" spans="1:52" s="19" customFormat="1" ht="14.25" customHeight="1" x14ac:dyDescent="0.2">
      <c r="A76" s="72" t="s">
        <v>145</v>
      </c>
      <c r="B76" s="72" t="s">
        <v>201</v>
      </c>
      <c r="C76" s="40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0"/>
      <c r="R76" s="40"/>
      <c r="S76" s="98" t="s">
        <v>236</v>
      </c>
      <c r="T76" s="73">
        <v>33000</v>
      </c>
      <c r="U76" s="41"/>
      <c r="V76" s="97" t="s">
        <v>161</v>
      </c>
      <c r="W76" s="42"/>
      <c r="X76" s="2">
        <v>53.9</v>
      </c>
      <c r="Y76" s="46"/>
      <c r="Z76" s="43"/>
      <c r="AA76" s="40"/>
      <c r="AB76" s="40"/>
      <c r="AC76" s="43"/>
      <c r="AD76" s="43"/>
      <c r="AE76" s="43"/>
      <c r="AF76" s="43"/>
      <c r="AG76" s="75">
        <v>44879</v>
      </c>
      <c r="AH76" s="75">
        <v>44879</v>
      </c>
      <c r="AI76" s="78"/>
      <c r="AJ76" s="78"/>
      <c r="AK76" s="78"/>
      <c r="AL76" s="57" t="s">
        <v>31</v>
      </c>
      <c r="AM76" s="73">
        <v>33000</v>
      </c>
      <c r="AN76" s="44"/>
      <c r="AO76" s="44"/>
      <c r="AP76" s="73">
        <v>32550</v>
      </c>
      <c r="AQ76" s="44"/>
      <c r="AR76" s="44"/>
      <c r="AS76" s="40"/>
      <c r="AT76" s="40"/>
      <c r="AU76" s="40"/>
      <c r="AV76" s="40"/>
      <c r="AW76" s="40"/>
      <c r="AX76" s="40"/>
      <c r="AY76" s="40"/>
      <c r="AZ76" s="45"/>
    </row>
    <row r="77" spans="1:52" s="19" customFormat="1" ht="14.25" customHeight="1" x14ac:dyDescent="0.2">
      <c r="A77" s="72" t="s">
        <v>144</v>
      </c>
      <c r="B77" s="72" t="s">
        <v>204</v>
      </c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0"/>
      <c r="R77" s="40"/>
      <c r="S77" s="98" t="s">
        <v>236</v>
      </c>
      <c r="T77" s="73">
        <v>60000</v>
      </c>
      <c r="U77" s="41"/>
      <c r="V77" s="97" t="s">
        <v>161</v>
      </c>
      <c r="W77" s="42"/>
      <c r="X77" s="2">
        <v>53.9</v>
      </c>
      <c r="Y77" s="46"/>
      <c r="Z77" s="43"/>
      <c r="AA77" s="40"/>
      <c r="AB77" s="40"/>
      <c r="AC77" s="43"/>
      <c r="AD77" s="43"/>
      <c r="AE77" s="43"/>
      <c r="AF77" s="43"/>
      <c r="AG77" s="75">
        <v>44890</v>
      </c>
      <c r="AH77" s="75">
        <v>44890</v>
      </c>
      <c r="AI77" s="78"/>
      <c r="AJ77" s="156"/>
      <c r="AK77" s="156"/>
      <c r="AL77" s="57" t="s">
        <v>31</v>
      </c>
      <c r="AM77" s="73">
        <v>60000</v>
      </c>
      <c r="AN77" s="44"/>
      <c r="AO77" s="44"/>
      <c r="AP77" s="73">
        <v>59278</v>
      </c>
      <c r="AQ77" s="44"/>
      <c r="AR77" s="44"/>
      <c r="AS77" s="40"/>
      <c r="AT77" s="40"/>
      <c r="AU77" s="40"/>
      <c r="AV77" s="40"/>
      <c r="AW77" s="40"/>
      <c r="AX77" s="40"/>
      <c r="AY77" s="40"/>
      <c r="AZ77" s="45"/>
    </row>
    <row r="78" spans="1:52" s="19" customFormat="1" ht="14.25" customHeight="1" x14ac:dyDescent="0.2">
      <c r="A78" s="72" t="s">
        <v>215</v>
      </c>
      <c r="B78" s="72" t="s">
        <v>244</v>
      </c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0"/>
      <c r="R78" s="40"/>
      <c r="S78" s="98" t="s">
        <v>236</v>
      </c>
      <c r="T78" s="73">
        <v>10000</v>
      </c>
      <c r="U78" s="41"/>
      <c r="V78" s="97" t="s">
        <v>161</v>
      </c>
      <c r="W78" s="42"/>
      <c r="X78" s="2">
        <v>53.9</v>
      </c>
      <c r="Y78" s="46"/>
      <c r="Z78" s="43"/>
      <c r="AA78" s="40"/>
      <c r="AB78" s="40"/>
      <c r="AC78" s="43"/>
      <c r="AD78" s="43"/>
      <c r="AE78" s="43"/>
      <c r="AF78" s="43"/>
      <c r="AG78" s="75">
        <v>44890</v>
      </c>
      <c r="AH78" s="75">
        <v>44890</v>
      </c>
      <c r="AI78" s="78"/>
      <c r="AJ78" s="156"/>
      <c r="AK78" s="156"/>
      <c r="AL78" s="57" t="s">
        <v>31</v>
      </c>
      <c r="AM78" s="73">
        <v>10000</v>
      </c>
      <c r="AN78" s="44"/>
      <c r="AO78" s="44"/>
      <c r="AP78" s="73">
        <v>9610</v>
      </c>
      <c r="AQ78" s="44"/>
      <c r="AR78" s="44"/>
      <c r="AS78" s="40"/>
      <c r="AT78" s="40"/>
      <c r="AU78" s="40"/>
      <c r="AV78" s="40"/>
      <c r="AW78" s="40"/>
      <c r="AX78" s="40"/>
      <c r="AY78" s="40"/>
      <c r="AZ78" s="45"/>
    </row>
    <row r="79" spans="1:52" s="19" customFormat="1" ht="14.25" customHeight="1" x14ac:dyDescent="0.2">
      <c r="A79" s="72" t="s">
        <v>146</v>
      </c>
      <c r="B79" s="72" t="s">
        <v>217</v>
      </c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0"/>
      <c r="R79" s="40"/>
      <c r="S79" s="98" t="s">
        <v>236</v>
      </c>
      <c r="T79" s="73">
        <v>20000</v>
      </c>
      <c r="U79" s="41"/>
      <c r="V79" s="97" t="s">
        <v>161</v>
      </c>
      <c r="W79" s="42"/>
      <c r="X79" s="2">
        <v>53.9</v>
      </c>
      <c r="Y79" s="46"/>
      <c r="Z79" s="43"/>
      <c r="AA79" s="40"/>
      <c r="AB79" s="40"/>
      <c r="AC79" s="43"/>
      <c r="AD79" s="43"/>
      <c r="AE79" s="43"/>
      <c r="AF79" s="43"/>
      <c r="AG79" s="75">
        <v>44890</v>
      </c>
      <c r="AH79" s="75">
        <v>44890</v>
      </c>
      <c r="AI79" s="78"/>
      <c r="AJ79" s="156"/>
      <c r="AK79" s="156"/>
      <c r="AL79" s="57" t="s">
        <v>31</v>
      </c>
      <c r="AM79" s="73">
        <v>20000</v>
      </c>
      <c r="AN79" s="44"/>
      <c r="AO79" s="44"/>
      <c r="AP79" s="73">
        <v>19702</v>
      </c>
      <c r="AQ79" s="44"/>
      <c r="AR79" s="44"/>
      <c r="AS79" s="40"/>
      <c r="AT79" s="40"/>
      <c r="AU79" s="40"/>
      <c r="AV79" s="40"/>
      <c r="AW79" s="40"/>
      <c r="AX79" s="40"/>
      <c r="AY79" s="40"/>
      <c r="AZ79" s="45"/>
    </row>
    <row r="80" spans="1:52" s="19" customFormat="1" ht="14.25" customHeight="1" x14ac:dyDescent="0.2">
      <c r="A80" s="72" t="s">
        <v>141</v>
      </c>
      <c r="B80" s="72" t="s">
        <v>245</v>
      </c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0"/>
      <c r="R80" s="40"/>
      <c r="S80" s="98" t="s">
        <v>236</v>
      </c>
      <c r="T80" s="73">
        <v>20000</v>
      </c>
      <c r="U80" s="41"/>
      <c r="V80" s="97" t="s">
        <v>161</v>
      </c>
      <c r="W80" s="42"/>
      <c r="X80" s="2">
        <v>53.9</v>
      </c>
      <c r="Y80" s="46"/>
      <c r="Z80" s="43"/>
      <c r="AA80" s="40"/>
      <c r="AB80" s="40"/>
      <c r="AC80" s="43"/>
      <c r="AD80" s="43"/>
      <c r="AE80" s="43"/>
      <c r="AF80" s="43"/>
      <c r="AG80" s="75">
        <v>44904</v>
      </c>
      <c r="AH80" s="75">
        <v>44904</v>
      </c>
      <c r="AI80" s="78"/>
      <c r="AJ80" s="78"/>
      <c r="AK80" s="78"/>
      <c r="AL80" s="57" t="s">
        <v>31</v>
      </c>
      <c r="AM80" s="73">
        <v>20000</v>
      </c>
      <c r="AN80" s="44"/>
      <c r="AO80" s="44"/>
      <c r="AP80" s="73">
        <v>19765</v>
      </c>
      <c r="AQ80" s="44"/>
      <c r="AR80" s="44"/>
      <c r="AS80" s="40"/>
      <c r="AT80" s="40"/>
      <c r="AU80" s="40"/>
      <c r="AV80" s="40"/>
      <c r="AW80" s="40"/>
      <c r="AX80" s="40"/>
      <c r="AY80" s="40"/>
      <c r="AZ80" s="45"/>
    </row>
    <row r="81" spans="1:52" s="19" customFormat="1" ht="25.5" customHeight="1" x14ac:dyDescent="0.2">
      <c r="A81" s="72" t="s">
        <v>246</v>
      </c>
      <c r="B81" s="72" t="s">
        <v>247</v>
      </c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0"/>
      <c r="R81" s="40"/>
      <c r="S81" s="98" t="s">
        <v>236</v>
      </c>
      <c r="T81" s="73">
        <v>16500</v>
      </c>
      <c r="U81" s="41"/>
      <c r="V81" s="97" t="s">
        <v>161</v>
      </c>
      <c r="W81" s="42"/>
      <c r="X81" s="2">
        <v>53.9</v>
      </c>
      <c r="Y81" s="46"/>
      <c r="Z81" s="43"/>
      <c r="AA81" s="40"/>
      <c r="AB81" s="40"/>
      <c r="AC81" s="43"/>
      <c r="AD81" s="43"/>
      <c r="AE81" s="43"/>
      <c r="AF81" s="43"/>
      <c r="AG81" s="75">
        <v>44904</v>
      </c>
      <c r="AH81" s="75">
        <v>44904</v>
      </c>
      <c r="AI81" s="78"/>
      <c r="AJ81" s="78"/>
      <c r="AK81" s="78"/>
      <c r="AL81" s="57" t="s">
        <v>31</v>
      </c>
      <c r="AM81" s="73">
        <v>16500</v>
      </c>
      <c r="AN81" s="44"/>
      <c r="AO81" s="44"/>
      <c r="AP81" s="73">
        <v>16275</v>
      </c>
      <c r="AQ81" s="44"/>
      <c r="AR81" s="44"/>
      <c r="AS81" s="40"/>
      <c r="AT81" s="40"/>
      <c r="AU81" s="40"/>
      <c r="AV81" s="40"/>
      <c r="AW81" s="40"/>
      <c r="AX81" s="40"/>
      <c r="AY81" s="40"/>
      <c r="AZ81" s="45"/>
    </row>
    <row r="82" spans="1:52" s="19" customFormat="1" ht="14.25" customHeight="1" x14ac:dyDescent="0.2">
      <c r="A82" s="72" t="s">
        <v>145</v>
      </c>
      <c r="B82" s="72" t="s">
        <v>201</v>
      </c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0"/>
      <c r="R82" s="40"/>
      <c r="S82" s="98" t="s">
        <v>236</v>
      </c>
      <c r="T82" s="73">
        <v>15000</v>
      </c>
      <c r="U82" s="41"/>
      <c r="V82" s="78" t="s">
        <v>161</v>
      </c>
      <c r="W82" s="42"/>
      <c r="X82" s="2">
        <v>53.9</v>
      </c>
      <c r="Y82" s="46"/>
      <c r="Z82" s="43"/>
      <c r="AA82" s="40"/>
      <c r="AB82" s="40"/>
      <c r="AC82" s="43"/>
      <c r="AD82" s="43"/>
      <c r="AE82" s="43"/>
      <c r="AF82" s="43"/>
      <c r="AG82" s="75">
        <v>44909</v>
      </c>
      <c r="AH82" s="75">
        <v>44909</v>
      </c>
      <c r="AI82" s="78"/>
      <c r="AJ82" s="78"/>
      <c r="AK82" s="78"/>
      <c r="AL82" s="57" t="s">
        <v>31</v>
      </c>
      <c r="AM82" s="73">
        <v>15000</v>
      </c>
      <c r="AN82" s="44"/>
      <c r="AO82" s="44"/>
      <c r="AP82" s="73">
        <v>14810</v>
      </c>
      <c r="AQ82" s="44"/>
      <c r="AR82" s="44"/>
      <c r="AS82" s="40"/>
      <c r="AT82" s="40"/>
      <c r="AU82" s="40"/>
      <c r="AV82" s="40"/>
      <c r="AW82" s="40"/>
      <c r="AX82" s="40"/>
      <c r="AY82" s="40"/>
      <c r="AZ82" s="45"/>
    </row>
    <row r="83" spans="1:52" s="19" customFormat="1" ht="14.25" customHeight="1" x14ac:dyDescent="0.2">
      <c r="A83" s="72" t="s">
        <v>144</v>
      </c>
      <c r="B83" s="72" t="s">
        <v>204</v>
      </c>
      <c r="C83" s="40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0"/>
      <c r="R83" s="40"/>
      <c r="S83" s="98" t="s">
        <v>236</v>
      </c>
      <c r="T83" s="73">
        <v>300000</v>
      </c>
      <c r="U83" s="41"/>
      <c r="V83" s="78" t="s">
        <v>161</v>
      </c>
      <c r="W83" s="42"/>
      <c r="X83" s="2">
        <v>53.9</v>
      </c>
      <c r="Y83" s="46"/>
      <c r="Z83" s="43"/>
      <c r="AA83" s="40"/>
      <c r="AB83" s="40"/>
      <c r="AC83" s="43"/>
      <c r="AD83" s="43"/>
      <c r="AE83" s="43"/>
      <c r="AF83" s="43"/>
      <c r="AG83" s="75">
        <v>44914</v>
      </c>
      <c r="AH83" s="75">
        <v>44914</v>
      </c>
      <c r="AI83" s="78"/>
      <c r="AJ83" s="78"/>
      <c r="AK83" s="78"/>
      <c r="AL83" s="57" t="s">
        <v>31</v>
      </c>
      <c r="AM83" s="73">
        <v>300000</v>
      </c>
      <c r="AN83" s="44"/>
      <c r="AO83" s="44"/>
      <c r="AP83" s="73">
        <v>298145</v>
      </c>
      <c r="AQ83" s="44"/>
      <c r="AR83" s="44"/>
      <c r="AS83" s="40"/>
      <c r="AT83" s="40"/>
      <c r="AU83" s="40"/>
      <c r="AV83" s="40"/>
      <c r="AW83" s="40"/>
      <c r="AX83" s="40"/>
      <c r="AY83" s="40"/>
      <c r="AZ83" s="45"/>
    </row>
    <row r="84" spans="1:52" s="19" customFormat="1" ht="14.25" customHeight="1" x14ac:dyDescent="0.2">
      <c r="A84" s="72" t="s">
        <v>151</v>
      </c>
      <c r="B84" s="72" t="s">
        <v>123</v>
      </c>
      <c r="C84" s="40"/>
      <c r="D84" s="40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0"/>
      <c r="R84" s="40"/>
      <c r="S84" s="98" t="s">
        <v>236</v>
      </c>
      <c r="T84" s="73">
        <v>48000</v>
      </c>
      <c r="U84" s="41"/>
      <c r="V84" s="97" t="s">
        <v>164</v>
      </c>
      <c r="W84" s="42"/>
      <c r="X84" s="2">
        <v>53.9</v>
      </c>
      <c r="Y84" s="46"/>
      <c r="Z84" s="43"/>
      <c r="AA84" s="40"/>
      <c r="AB84" s="40"/>
      <c r="AC84" s="43"/>
      <c r="AD84" s="43"/>
      <c r="AE84" s="43"/>
      <c r="AF84" s="43"/>
      <c r="AG84" s="75">
        <v>44791</v>
      </c>
      <c r="AH84" s="75">
        <v>44791</v>
      </c>
      <c r="AI84" s="77">
        <v>44841</v>
      </c>
      <c r="AJ84" s="77">
        <v>44848</v>
      </c>
      <c r="AK84" s="77">
        <v>44848</v>
      </c>
      <c r="AL84" s="57" t="s">
        <v>31</v>
      </c>
      <c r="AM84" s="73">
        <v>48000</v>
      </c>
      <c r="AN84" s="44"/>
      <c r="AO84" s="44"/>
      <c r="AP84" s="73">
        <v>47656</v>
      </c>
      <c r="AQ84" s="44"/>
      <c r="AR84" s="44"/>
      <c r="AS84" s="40"/>
      <c r="AT84" s="40"/>
      <c r="AU84" s="40"/>
      <c r="AV84" s="40"/>
      <c r="AW84" s="40"/>
      <c r="AX84" s="40"/>
      <c r="AY84" s="40"/>
      <c r="AZ84" s="45"/>
    </row>
    <row r="85" spans="1:52" s="19" customFormat="1" ht="14.25" customHeight="1" x14ac:dyDescent="0.2">
      <c r="A85" s="72" t="s">
        <v>143</v>
      </c>
      <c r="B85" s="72" t="s">
        <v>117</v>
      </c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0"/>
      <c r="R85" s="40"/>
      <c r="S85" s="98" t="s">
        <v>236</v>
      </c>
      <c r="T85" s="73">
        <v>34500</v>
      </c>
      <c r="U85" s="41"/>
      <c r="V85" s="97" t="s">
        <v>164</v>
      </c>
      <c r="W85" s="42"/>
      <c r="X85" s="2">
        <v>53.9</v>
      </c>
      <c r="Y85" s="46"/>
      <c r="Z85" s="43"/>
      <c r="AA85" s="40"/>
      <c r="AB85" s="40"/>
      <c r="AC85" s="43"/>
      <c r="AD85" s="43"/>
      <c r="AE85" s="43"/>
      <c r="AF85" s="43"/>
      <c r="AG85" s="75">
        <v>44791</v>
      </c>
      <c r="AH85" s="75">
        <v>44791</v>
      </c>
      <c r="AI85" s="77">
        <v>44886</v>
      </c>
      <c r="AJ85" s="77">
        <v>44893</v>
      </c>
      <c r="AK85" s="77">
        <v>44893</v>
      </c>
      <c r="AL85" s="57" t="s">
        <v>31</v>
      </c>
      <c r="AM85" s="73">
        <v>34500</v>
      </c>
      <c r="AN85" s="44"/>
      <c r="AO85" s="44"/>
      <c r="AP85" s="73">
        <v>34017</v>
      </c>
      <c r="AQ85" s="44"/>
      <c r="AR85" s="44"/>
      <c r="AS85" s="40"/>
      <c r="AT85" s="40"/>
      <c r="AU85" s="40"/>
      <c r="AV85" s="40"/>
      <c r="AW85" s="40"/>
      <c r="AX85" s="40"/>
      <c r="AY85" s="40"/>
      <c r="AZ85" s="45"/>
    </row>
    <row r="86" spans="1:52" s="19" customFormat="1" ht="14.25" customHeight="1" x14ac:dyDescent="0.2">
      <c r="A86" s="72" t="s">
        <v>146</v>
      </c>
      <c r="B86" s="72" t="s">
        <v>239</v>
      </c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0"/>
      <c r="R86" s="40"/>
      <c r="S86" s="98" t="s">
        <v>236</v>
      </c>
      <c r="T86" s="73">
        <v>60000</v>
      </c>
      <c r="U86" s="41"/>
      <c r="V86" s="97" t="s">
        <v>164</v>
      </c>
      <c r="W86" s="42"/>
      <c r="X86" s="2">
        <v>53.9</v>
      </c>
      <c r="Y86" s="46"/>
      <c r="Z86" s="43"/>
      <c r="AA86" s="40"/>
      <c r="AB86" s="40"/>
      <c r="AC86" s="43"/>
      <c r="AD86" s="43"/>
      <c r="AE86" s="43"/>
      <c r="AF86" s="43"/>
      <c r="AG86" s="75">
        <v>44753</v>
      </c>
      <c r="AH86" s="75">
        <v>44753</v>
      </c>
      <c r="AI86" s="77">
        <v>44819</v>
      </c>
      <c r="AJ86" s="79">
        <v>44826</v>
      </c>
      <c r="AK86" s="79">
        <v>44826</v>
      </c>
      <c r="AL86" s="57" t="s">
        <v>31</v>
      </c>
      <c r="AM86" s="73">
        <v>60000</v>
      </c>
      <c r="AN86" s="44"/>
      <c r="AO86" s="44"/>
      <c r="AP86" s="73">
        <v>59432</v>
      </c>
      <c r="AQ86" s="44"/>
      <c r="AR86" s="44"/>
      <c r="AS86" s="40"/>
      <c r="AT86" s="40"/>
      <c r="AU86" s="40"/>
      <c r="AV86" s="40"/>
      <c r="AW86" s="40"/>
      <c r="AX86" s="40"/>
      <c r="AY86" s="40"/>
      <c r="AZ86" s="45"/>
    </row>
    <row r="87" spans="1:52" s="19" customFormat="1" ht="14.25" customHeight="1" x14ac:dyDescent="0.2">
      <c r="A87" s="72" t="s">
        <v>151</v>
      </c>
      <c r="B87" s="72" t="s">
        <v>243</v>
      </c>
      <c r="C87" s="40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0"/>
      <c r="R87" s="40"/>
      <c r="S87" s="98" t="s">
        <v>236</v>
      </c>
      <c r="T87" s="73">
        <v>16000</v>
      </c>
      <c r="U87" s="41"/>
      <c r="V87" s="97" t="s">
        <v>164</v>
      </c>
      <c r="W87" s="42"/>
      <c r="X87" s="2">
        <v>53.9</v>
      </c>
      <c r="Y87" s="46"/>
      <c r="Z87" s="43"/>
      <c r="AA87" s="40"/>
      <c r="AB87" s="40"/>
      <c r="AC87" s="43"/>
      <c r="AD87" s="43"/>
      <c r="AE87" s="43"/>
      <c r="AF87" s="43"/>
      <c r="AG87" s="75">
        <v>44825</v>
      </c>
      <c r="AH87" s="75">
        <v>44825</v>
      </c>
      <c r="AI87" s="77">
        <v>44897</v>
      </c>
      <c r="AJ87" s="77">
        <v>44904</v>
      </c>
      <c r="AK87" s="77">
        <v>44904</v>
      </c>
      <c r="AL87" s="57" t="s">
        <v>31</v>
      </c>
      <c r="AM87" s="73">
        <v>16000</v>
      </c>
      <c r="AN87" s="44"/>
      <c r="AO87" s="44"/>
      <c r="AP87" s="73">
        <v>15872</v>
      </c>
      <c r="AQ87" s="44"/>
      <c r="AR87" s="44"/>
      <c r="AS87" s="40"/>
      <c r="AT87" s="40"/>
      <c r="AU87" s="40"/>
      <c r="AV87" s="40"/>
      <c r="AW87" s="40"/>
      <c r="AX87" s="40"/>
      <c r="AY87" s="40"/>
      <c r="AZ87" s="45"/>
    </row>
    <row r="88" spans="1:52" s="19" customFormat="1" ht="14.25" customHeight="1" x14ac:dyDescent="0.2">
      <c r="A88" s="72" t="s">
        <v>215</v>
      </c>
      <c r="B88" s="72" t="s">
        <v>248</v>
      </c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0"/>
      <c r="R88" s="40"/>
      <c r="S88" s="98" t="s">
        <v>236</v>
      </c>
      <c r="T88" s="73">
        <v>10000</v>
      </c>
      <c r="U88" s="41"/>
      <c r="V88" s="165" t="s">
        <v>164</v>
      </c>
      <c r="W88" s="42"/>
      <c r="X88" s="2">
        <v>53.9</v>
      </c>
      <c r="Y88" s="46"/>
      <c r="Z88" s="43"/>
      <c r="AA88" s="40"/>
      <c r="AB88" s="40"/>
      <c r="AC88" s="43"/>
      <c r="AD88" s="43"/>
      <c r="AE88" s="43"/>
      <c r="AF88" s="43"/>
      <c r="AG88" s="75">
        <v>44838</v>
      </c>
      <c r="AH88" s="75">
        <v>44838</v>
      </c>
      <c r="AI88" s="77">
        <v>44897</v>
      </c>
      <c r="AJ88" s="77">
        <v>44904</v>
      </c>
      <c r="AK88" s="77">
        <v>44904</v>
      </c>
      <c r="AL88" s="57" t="s">
        <v>31</v>
      </c>
      <c r="AM88" s="73">
        <v>10000</v>
      </c>
      <c r="AN88" s="44"/>
      <c r="AO88" s="44"/>
      <c r="AP88" s="73">
        <f>4967+4967</f>
        <v>9934</v>
      </c>
      <c r="AQ88" s="44"/>
      <c r="AR88" s="44"/>
      <c r="AS88" s="40"/>
      <c r="AT88" s="40"/>
      <c r="AU88" s="40"/>
      <c r="AV88" s="40"/>
      <c r="AW88" s="40"/>
      <c r="AX88" s="40"/>
      <c r="AY88" s="40"/>
      <c r="AZ88" s="45"/>
    </row>
    <row r="89" spans="1:52" s="19" customFormat="1" ht="14.25" customHeight="1" x14ac:dyDescent="0.2">
      <c r="A89" s="72" t="s">
        <v>143</v>
      </c>
      <c r="B89" s="72" t="s">
        <v>128</v>
      </c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0"/>
      <c r="R89" s="40"/>
      <c r="S89" s="98" t="s">
        <v>236</v>
      </c>
      <c r="T89" s="73">
        <v>202500</v>
      </c>
      <c r="U89" s="41"/>
      <c r="V89" s="97" t="s">
        <v>165</v>
      </c>
      <c r="W89" s="42"/>
      <c r="X89" s="2">
        <v>53.9</v>
      </c>
      <c r="Y89" s="46"/>
      <c r="Z89" s="43"/>
      <c r="AA89" s="40"/>
      <c r="AB89" s="40"/>
      <c r="AC89" s="43"/>
      <c r="AD89" s="43"/>
      <c r="AE89" s="43"/>
      <c r="AF89" s="43"/>
      <c r="AG89" s="75">
        <v>44728</v>
      </c>
      <c r="AH89" s="75">
        <v>44728</v>
      </c>
      <c r="AI89" s="77">
        <v>44819</v>
      </c>
      <c r="AJ89" s="79">
        <v>44826</v>
      </c>
      <c r="AK89" s="79">
        <v>44826</v>
      </c>
      <c r="AL89" s="57" t="s">
        <v>31</v>
      </c>
      <c r="AM89" s="73">
        <v>202500</v>
      </c>
      <c r="AN89" s="44"/>
      <c r="AO89" s="44"/>
      <c r="AP89" s="73">
        <v>200523</v>
      </c>
      <c r="AQ89" s="44"/>
      <c r="AR89" s="44"/>
      <c r="AS89" s="40"/>
      <c r="AT89" s="40"/>
      <c r="AU89" s="40"/>
      <c r="AV89" s="40"/>
      <c r="AW89" s="40"/>
      <c r="AX89" s="40"/>
      <c r="AY89" s="40"/>
      <c r="AZ89" s="45"/>
    </row>
    <row r="90" spans="1:52" s="19" customFormat="1" ht="14.25" customHeight="1" x14ac:dyDescent="0.2">
      <c r="A90" s="72" t="s">
        <v>145</v>
      </c>
      <c r="B90" s="72" t="s">
        <v>118</v>
      </c>
      <c r="C90" s="40"/>
      <c r="D90" s="40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0"/>
      <c r="R90" s="40"/>
      <c r="S90" s="98" t="s">
        <v>236</v>
      </c>
      <c r="T90" s="73">
        <v>63000</v>
      </c>
      <c r="U90" s="41"/>
      <c r="V90" s="97" t="s">
        <v>165</v>
      </c>
      <c r="W90" s="42"/>
      <c r="X90" s="2">
        <v>53.9</v>
      </c>
      <c r="Y90" s="46"/>
      <c r="Z90" s="43"/>
      <c r="AA90" s="40"/>
      <c r="AB90" s="40"/>
      <c r="AC90" s="43"/>
      <c r="AD90" s="43"/>
      <c r="AE90" s="43"/>
      <c r="AF90" s="43"/>
      <c r="AG90" s="75">
        <v>44728</v>
      </c>
      <c r="AH90" s="75">
        <v>44728</v>
      </c>
      <c r="AI90" s="77">
        <v>44841</v>
      </c>
      <c r="AJ90" s="79">
        <v>44848</v>
      </c>
      <c r="AK90" s="79">
        <v>44848</v>
      </c>
      <c r="AL90" s="57" t="s">
        <v>31</v>
      </c>
      <c r="AM90" s="73">
        <v>63000</v>
      </c>
      <c r="AN90" s="44"/>
      <c r="AO90" s="44"/>
      <c r="AP90" s="73">
        <v>62175</v>
      </c>
      <c r="AQ90" s="44"/>
      <c r="AR90" s="44"/>
      <c r="AS90" s="40"/>
      <c r="AT90" s="40"/>
      <c r="AU90" s="40"/>
      <c r="AV90" s="40"/>
      <c r="AW90" s="40"/>
      <c r="AX90" s="40"/>
      <c r="AY90" s="40"/>
      <c r="AZ90" s="45"/>
    </row>
    <row r="91" spans="1:52" s="19" customFormat="1" ht="14.25" customHeight="1" x14ac:dyDescent="0.2">
      <c r="A91" s="72" t="s">
        <v>137</v>
      </c>
      <c r="B91" s="72" t="s">
        <v>112</v>
      </c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0"/>
      <c r="R91" s="40"/>
      <c r="S91" s="98" t="s">
        <v>236</v>
      </c>
      <c r="T91" s="73">
        <v>44000</v>
      </c>
      <c r="U91" s="41"/>
      <c r="V91" s="97" t="s">
        <v>165</v>
      </c>
      <c r="W91" s="42"/>
      <c r="X91" s="2">
        <v>53.9</v>
      </c>
      <c r="Y91" s="46"/>
      <c r="Z91" s="43"/>
      <c r="AA91" s="40"/>
      <c r="AB91" s="40"/>
      <c r="AC91" s="43"/>
      <c r="AD91" s="43"/>
      <c r="AE91" s="43"/>
      <c r="AF91" s="43"/>
      <c r="AG91" s="75">
        <v>44727</v>
      </c>
      <c r="AH91" s="75">
        <v>44727</v>
      </c>
      <c r="AI91" s="77">
        <v>44812</v>
      </c>
      <c r="AJ91" s="79">
        <v>44819</v>
      </c>
      <c r="AK91" s="79">
        <v>44819</v>
      </c>
      <c r="AL91" s="57" t="s">
        <v>31</v>
      </c>
      <c r="AM91" s="73">
        <v>44000</v>
      </c>
      <c r="AN91" s="44"/>
      <c r="AO91" s="44"/>
      <c r="AP91" s="73">
        <v>43144</v>
      </c>
      <c r="AQ91" s="44"/>
      <c r="AR91" s="44"/>
      <c r="AS91" s="40"/>
      <c r="AT91" s="40"/>
      <c r="AU91" s="40"/>
      <c r="AV91" s="40"/>
      <c r="AW91" s="40"/>
      <c r="AX91" s="40"/>
      <c r="AY91" s="40"/>
      <c r="AZ91" s="45"/>
    </row>
    <row r="92" spans="1:52" s="19" customFormat="1" ht="14.25" customHeight="1" x14ac:dyDescent="0.2">
      <c r="A92" s="72" t="s">
        <v>139</v>
      </c>
      <c r="B92" s="72" t="s">
        <v>249</v>
      </c>
      <c r="C92" s="40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0"/>
      <c r="R92" s="40"/>
      <c r="S92" s="98" t="s">
        <v>236</v>
      </c>
      <c r="T92" s="73">
        <v>10000</v>
      </c>
      <c r="U92" s="41"/>
      <c r="V92" s="97" t="s">
        <v>165</v>
      </c>
      <c r="W92" s="42"/>
      <c r="X92" s="2">
        <v>53.9</v>
      </c>
      <c r="Y92" s="46"/>
      <c r="Z92" s="43"/>
      <c r="AA92" s="40"/>
      <c r="AB92" s="40"/>
      <c r="AC92" s="43"/>
      <c r="AD92" s="43"/>
      <c r="AE92" s="43"/>
      <c r="AF92" s="43"/>
      <c r="AG92" s="75">
        <v>44747</v>
      </c>
      <c r="AH92" s="75">
        <v>44747</v>
      </c>
      <c r="AI92" s="77">
        <v>44812</v>
      </c>
      <c r="AJ92" s="79">
        <v>44819</v>
      </c>
      <c r="AK92" s="79">
        <v>44819</v>
      </c>
      <c r="AL92" s="57" t="s">
        <v>31</v>
      </c>
      <c r="AM92" s="73">
        <v>10000</v>
      </c>
      <c r="AN92" s="44"/>
      <c r="AO92" s="44"/>
      <c r="AP92" s="73">
        <v>9775</v>
      </c>
      <c r="AQ92" s="44"/>
      <c r="AR92" s="44"/>
      <c r="AS92" s="40"/>
      <c r="AT92" s="40"/>
      <c r="AU92" s="40"/>
      <c r="AV92" s="40"/>
      <c r="AW92" s="40"/>
      <c r="AX92" s="40"/>
      <c r="AY92" s="40"/>
      <c r="AZ92" s="45"/>
    </row>
    <row r="93" spans="1:52" s="19" customFormat="1" ht="14.25" customHeight="1" x14ac:dyDescent="0.2">
      <c r="A93" s="72" t="s">
        <v>142</v>
      </c>
      <c r="B93" s="72" t="s">
        <v>214</v>
      </c>
      <c r="C93" s="40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0"/>
      <c r="R93" s="40"/>
      <c r="S93" s="98" t="s">
        <v>236</v>
      </c>
      <c r="T93" s="73">
        <v>17500</v>
      </c>
      <c r="U93" s="41"/>
      <c r="V93" s="97" t="s">
        <v>165</v>
      </c>
      <c r="W93" s="42"/>
      <c r="X93" s="2">
        <v>53.9</v>
      </c>
      <c r="Y93" s="46"/>
      <c r="Z93" s="43"/>
      <c r="AA93" s="40"/>
      <c r="AB93" s="40"/>
      <c r="AC93" s="43"/>
      <c r="AD93" s="43"/>
      <c r="AE93" s="43"/>
      <c r="AF93" s="43"/>
      <c r="AG93" s="75">
        <v>44747</v>
      </c>
      <c r="AH93" s="75">
        <v>44747</v>
      </c>
      <c r="AI93" s="77">
        <v>44819</v>
      </c>
      <c r="AJ93" s="79">
        <v>44826</v>
      </c>
      <c r="AK93" s="79">
        <v>44826</v>
      </c>
      <c r="AL93" s="57" t="s">
        <v>31</v>
      </c>
      <c r="AM93" s="73">
        <v>17500</v>
      </c>
      <c r="AN93" s="44"/>
      <c r="AO93" s="44"/>
      <c r="AP93" s="73">
        <v>17225</v>
      </c>
      <c r="AQ93" s="44"/>
      <c r="AR93" s="44"/>
      <c r="AS93" s="40"/>
      <c r="AT93" s="40"/>
      <c r="AU93" s="40"/>
      <c r="AV93" s="40"/>
      <c r="AW93" s="40"/>
      <c r="AX93" s="40"/>
      <c r="AY93" s="40"/>
      <c r="AZ93" s="45"/>
    </row>
    <row r="94" spans="1:52" s="19" customFormat="1" ht="14.25" customHeight="1" x14ac:dyDescent="0.2">
      <c r="A94" s="72" t="s">
        <v>250</v>
      </c>
      <c r="B94" s="153" t="s">
        <v>202</v>
      </c>
      <c r="C94" s="40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0"/>
      <c r="R94" s="40"/>
      <c r="S94" s="98" t="s">
        <v>236</v>
      </c>
      <c r="T94" s="73">
        <v>17000</v>
      </c>
      <c r="U94" s="41"/>
      <c r="V94" s="97" t="s">
        <v>165</v>
      </c>
      <c r="W94" s="42"/>
      <c r="X94" s="2">
        <v>53.9</v>
      </c>
      <c r="Y94" s="46"/>
      <c r="Z94" s="43"/>
      <c r="AA94" s="40"/>
      <c r="AB94" s="40"/>
      <c r="AC94" s="43"/>
      <c r="AD94" s="43"/>
      <c r="AE94" s="43"/>
      <c r="AF94" s="43"/>
      <c r="AG94" s="75">
        <v>44760</v>
      </c>
      <c r="AH94" s="75">
        <v>44760</v>
      </c>
      <c r="AI94" s="77">
        <v>44886</v>
      </c>
      <c r="AJ94" s="77">
        <v>44893</v>
      </c>
      <c r="AK94" s="77">
        <v>44893</v>
      </c>
      <c r="AL94" s="57" t="s">
        <v>31</v>
      </c>
      <c r="AM94" s="73">
        <v>17000</v>
      </c>
      <c r="AN94" s="44"/>
      <c r="AO94" s="44"/>
      <c r="AP94" s="73">
        <v>16500</v>
      </c>
      <c r="AQ94" s="44"/>
      <c r="AR94" s="44"/>
      <c r="AS94" s="40"/>
      <c r="AT94" s="40"/>
      <c r="AU94" s="40"/>
      <c r="AV94" s="40"/>
      <c r="AW94" s="40"/>
      <c r="AX94" s="40"/>
      <c r="AY94" s="40"/>
      <c r="AZ94" s="45"/>
    </row>
    <row r="95" spans="1:52" s="19" customFormat="1" ht="14.25" customHeight="1" x14ac:dyDescent="0.2">
      <c r="A95" s="72" t="s">
        <v>142</v>
      </c>
      <c r="B95" s="72" t="s">
        <v>116</v>
      </c>
      <c r="C95" s="40"/>
      <c r="D95" s="40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0"/>
      <c r="R95" s="40"/>
      <c r="S95" s="98" t="s">
        <v>236</v>
      </c>
      <c r="T95" s="73">
        <v>17500</v>
      </c>
      <c r="U95" s="41"/>
      <c r="V95" s="165" t="s">
        <v>165</v>
      </c>
      <c r="W95" s="42"/>
      <c r="X95" s="2">
        <v>53.9</v>
      </c>
      <c r="Y95" s="46"/>
      <c r="Z95" s="43"/>
      <c r="AA95" s="40"/>
      <c r="AB95" s="40"/>
      <c r="AC95" s="43"/>
      <c r="AD95" s="43"/>
      <c r="AE95" s="43"/>
      <c r="AF95" s="43"/>
      <c r="AG95" s="75">
        <v>44844</v>
      </c>
      <c r="AH95" s="75">
        <v>44844</v>
      </c>
      <c r="AI95" s="77">
        <v>44881</v>
      </c>
      <c r="AJ95" s="77">
        <v>44888</v>
      </c>
      <c r="AK95" s="77">
        <v>44888</v>
      </c>
      <c r="AL95" s="57" t="s">
        <v>31</v>
      </c>
      <c r="AM95" s="73">
        <v>17500</v>
      </c>
      <c r="AN95" s="44"/>
      <c r="AO95" s="44"/>
      <c r="AP95" s="73">
        <v>17255</v>
      </c>
      <c r="AQ95" s="44"/>
      <c r="AR95" s="44"/>
      <c r="AS95" s="40"/>
      <c r="AT95" s="40"/>
      <c r="AU95" s="40"/>
      <c r="AV95" s="40"/>
      <c r="AW95" s="40"/>
      <c r="AX95" s="40"/>
      <c r="AY95" s="40"/>
      <c r="AZ95" s="45"/>
    </row>
    <row r="96" spans="1:52" s="19" customFormat="1" ht="14.25" customHeight="1" x14ac:dyDescent="0.2">
      <c r="A96" s="72" t="s">
        <v>151</v>
      </c>
      <c r="B96" s="72" t="s">
        <v>251</v>
      </c>
      <c r="C96" s="40"/>
      <c r="D96" s="40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0"/>
      <c r="R96" s="40"/>
      <c r="S96" s="98" t="s">
        <v>236</v>
      </c>
      <c r="T96" s="73">
        <v>20000</v>
      </c>
      <c r="U96" s="41"/>
      <c r="V96" s="97" t="s">
        <v>165</v>
      </c>
      <c r="W96" s="42"/>
      <c r="X96" s="2">
        <v>53.9</v>
      </c>
      <c r="Y96" s="46"/>
      <c r="Z96" s="43"/>
      <c r="AA96" s="40"/>
      <c r="AB96" s="40"/>
      <c r="AC96" s="43"/>
      <c r="AD96" s="43"/>
      <c r="AE96" s="43"/>
      <c r="AF96" s="43"/>
      <c r="AG96" s="75">
        <v>44862</v>
      </c>
      <c r="AH96" s="75">
        <v>44862</v>
      </c>
      <c r="AI96" s="77">
        <v>44903</v>
      </c>
      <c r="AJ96" s="148">
        <v>44910</v>
      </c>
      <c r="AK96" s="148">
        <v>44910</v>
      </c>
      <c r="AL96" s="57" t="s">
        <v>31</v>
      </c>
      <c r="AM96" s="73">
        <v>20000</v>
      </c>
      <c r="AN96" s="44"/>
      <c r="AO96" s="44"/>
      <c r="AP96" s="73">
        <v>19700</v>
      </c>
      <c r="AQ96" s="44"/>
      <c r="AR96" s="44"/>
      <c r="AS96" s="40"/>
      <c r="AT96" s="40"/>
      <c r="AU96" s="40"/>
      <c r="AV96" s="40"/>
      <c r="AW96" s="40"/>
      <c r="AX96" s="40"/>
      <c r="AY96" s="40"/>
      <c r="AZ96" s="45"/>
    </row>
    <row r="97" spans="1:52" s="19" customFormat="1" ht="14.25" customHeight="1" x14ac:dyDescent="0.2">
      <c r="A97" s="72" t="s">
        <v>143</v>
      </c>
      <c r="B97" s="72" t="s">
        <v>185</v>
      </c>
      <c r="C97" s="40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0"/>
      <c r="R97" s="40"/>
      <c r="S97" s="98" t="s">
        <v>236</v>
      </c>
      <c r="T97" s="73">
        <v>145000</v>
      </c>
      <c r="U97" s="41"/>
      <c r="V97" s="97" t="s">
        <v>165</v>
      </c>
      <c r="W97" s="42"/>
      <c r="X97" s="2">
        <v>53.9</v>
      </c>
      <c r="Y97" s="46"/>
      <c r="Z97" s="43"/>
      <c r="AA97" s="40"/>
      <c r="AB97" s="40"/>
      <c r="AC97" s="43"/>
      <c r="AD97" s="43"/>
      <c r="AE97" s="43"/>
      <c r="AF97" s="43"/>
      <c r="AG97" s="75">
        <v>44867</v>
      </c>
      <c r="AH97" s="75">
        <v>44867</v>
      </c>
      <c r="AI97" s="77">
        <v>44897</v>
      </c>
      <c r="AJ97" s="148">
        <v>44904</v>
      </c>
      <c r="AK97" s="148">
        <v>44904</v>
      </c>
      <c r="AL97" s="57" t="s">
        <v>31</v>
      </c>
      <c r="AM97" s="73">
        <v>145000</v>
      </c>
      <c r="AN97" s="44"/>
      <c r="AO97" s="44"/>
      <c r="AP97" s="73">
        <v>143555</v>
      </c>
      <c r="AQ97" s="44"/>
      <c r="AR97" s="44"/>
      <c r="AS97" s="40"/>
      <c r="AT97" s="40"/>
      <c r="AU97" s="40"/>
      <c r="AV97" s="40"/>
      <c r="AW97" s="40"/>
      <c r="AX97" s="40"/>
      <c r="AY97" s="40"/>
      <c r="AZ97" s="45"/>
    </row>
    <row r="98" spans="1:52" s="19" customFormat="1" ht="14.25" customHeight="1" x14ac:dyDescent="0.2">
      <c r="A98" s="72" t="s">
        <v>144</v>
      </c>
      <c r="B98" s="72" t="s">
        <v>225</v>
      </c>
      <c r="C98" s="40"/>
      <c r="D98" s="40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0"/>
      <c r="R98" s="40"/>
      <c r="S98" s="98" t="s">
        <v>236</v>
      </c>
      <c r="T98" s="73">
        <v>55500</v>
      </c>
      <c r="U98" s="41"/>
      <c r="V98" s="97" t="s">
        <v>165</v>
      </c>
      <c r="W98" s="42"/>
      <c r="X98" s="2">
        <v>53.9</v>
      </c>
      <c r="Y98" s="46"/>
      <c r="Z98" s="43"/>
      <c r="AA98" s="40"/>
      <c r="AB98" s="40"/>
      <c r="AC98" s="43"/>
      <c r="AD98" s="43"/>
      <c r="AE98" s="43"/>
      <c r="AF98" s="43"/>
      <c r="AG98" s="75">
        <v>44879</v>
      </c>
      <c r="AH98" s="75">
        <v>44879</v>
      </c>
      <c r="AI98" s="77">
        <v>44914</v>
      </c>
      <c r="AJ98" s="77">
        <v>44917</v>
      </c>
      <c r="AK98" s="77">
        <v>44917</v>
      </c>
      <c r="AL98" s="57" t="s">
        <v>31</v>
      </c>
      <c r="AM98" s="73">
        <v>55500</v>
      </c>
      <c r="AN98" s="44"/>
      <c r="AO98" s="44"/>
      <c r="AP98" s="73">
        <v>54978</v>
      </c>
      <c r="AQ98" s="44"/>
      <c r="AR98" s="44"/>
      <c r="AS98" s="40"/>
      <c r="AT98" s="40"/>
      <c r="AU98" s="40"/>
      <c r="AV98" s="40"/>
      <c r="AW98" s="40"/>
      <c r="AX98" s="40"/>
      <c r="AY98" s="40"/>
      <c r="AZ98" s="45"/>
    </row>
    <row r="99" spans="1:52" s="19" customFormat="1" ht="14.25" customHeight="1" x14ac:dyDescent="0.2">
      <c r="A99" s="72" t="s">
        <v>137</v>
      </c>
      <c r="B99" s="72" t="s">
        <v>209</v>
      </c>
      <c r="C99" s="40"/>
      <c r="D99" s="40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0"/>
      <c r="R99" s="40"/>
      <c r="S99" s="98" t="s">
        <v>236</v>
      </c>
      <c r="T99" s="73">
        <v>60000</v>
      </c>
      <c r="U99" s="41"/>
      <c r="V99" s="97" t="s">
        <v>165</v>
      </c>
      <c r="W99" s="42"/>
      <c r="X99" s="2">
        <v>53.9</v>
      </c>
      <c r="Y99" s="46"/>
      <c r="Z99" s="43"/>
      <c r="AA99" s="40"/>
      <c r="AB99" s="40"/>
      <c r="AC99" s="43"/>
      <c r="AD99" s="43"/>
      <c r="AE99" s="43"/>
      <c r="AF99" s="43"/>
      <c r="AG99" s="75">
        <v>44890</v>
      </c>
      <c r="AH99" s="75">
        <v>44890</v>
      </c>
      <c r="AI99" s="77"/>
      <c r="AJ99" s="148"/>
      <c r="AK99" s="148"/>
      <c r="AL99" s="57" t="s">
        <v>31</v>
      </c>
      <c r="AM99" s="73">
        <v>60000</v>
      </c>
      <c r="AN99" s="44"/>
      <c r="AO99" s="44"/>
      <c r="AP99" s="73">
        <v>59248</v>
      </c>
      <c r="AQ99" s="44"/>
      <c r="AR99" s="44"/>
      <c r="AS99" s="40"/>
      <c r="AT99" s="40"/>
      <c r="AU99" s="40"/>
      <c r="AV99" s="40"/>
      <c r="AW99" s="40"/>
      <c r="AX99" s="40"/>
      <c r="AY99" s="40"/>
      <c r="AZ99" s="45"/>
    </row>
    <row r="100" spans="1:52" s="19" customFormat="1" ht="14.25" customHeight="1" x14ac:dyDescent="0.2">
      <c r="A100" s="72" t="s">
        <v>145</v>
      </c>
      <c r="B100" s="72" t="s">
        <v>201</v>
      </c>
      <c r="C100" s="40"/>
      <c r="D100" s="40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0"/>
      <c r="R100" s="40"/>
      <c r="S100" s="98" t="s">
        <v>236</v>
      </c>
      <c r="T100" s="73">
        <v>33000</v>
      </c>
      <c r="U100" s="41"/>
      <c r="V100" s="97" t="s">
        <v>165</v>
      </c>
      <c r="W100" s="42"/>
      <c r="X100" s="2">
        <v>53.9</v>
      </c>
      <c r="Y100" s="46"/>
      <c r="Z100" s="43"/>
      <c r="AA100" s="40"/>
      <c r="AB100" s="40"/>
      <c r="AC100" s="43"/>
      <c r="AD100" s="43"/>
      <c r="AE100" s="43"/>
      <c r="AF100" s="43"/>
      <c r="AG100" s="75">
        <v>44890</v>
      </c>
      <c r="AH100" s="75">
        <v>44890</v>
      </c>
      <c r="AI100" s="77">
        <v>44915</v>
      </c>
      <c r="AJ100" s="148">
        <v>44918</v>
      </c>
      <c r="AK100" s="148">
        <v>44918</v>
      </c>
      <c r="AL100" s="57" t="s">
        <v>31</v>
      </c>
      <c r="AM100" s="73">
        <v>33000</v>
      </c>
      <c r="AN100" s="44"/>
      <c r="AO100" s="44"/>
      <c r="AP100" s="73">
        <v>32485</v>
      </c>
      <c r="AQ100" s="44"/>
      <c r="AR100" s="44"/>
      <c r="AS100" s="40"/>
      <c r="AT100" s="40"/>
      <c r="AU100" s="40"/>
      <c r="AV100" s="40"/>
      <c r="AW100" s="40"/>
      <c r="AX100" s="40"/>
      <c r="AY100" s="40"/>
      <c r="AZ100" s="45"/>
    </row>
    <row r="101" spans="1:52" s="19" customFormat="1" ht="14.25" customHeight="1" x14ac:dyDescent="0.2">
      <c r="A101" s="72" t="s">
        <v>144</v>
      </c>
      <c r="B101" s="72" t="s">
        <v>204</v>
      </c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0"/>
      <c r="R101" s="40"/>
      <c r="S101" s="98" t="s">
        <v>236</v>
      </c>
      <c r="T101" s="73">
        <v>35000</v>
      </c>
      <c r="U101" s="41"/>
      <c r="V101" s="97" t="s">
        <v>165</v>
      </c>
      <c r="W101" s="42"/>
      <c r="X101" s="2">
        <v>53.9</v>
      </c>
      <c r="Y101" s="46"/>
      <c r="Z101" s="43"/>
      <c r="AA101" s="40"/>
      <c r="AB101" s="40"/>
      <c r="AC101" s="43"/>
      <c r="AD101" s="43"/>
      <c r="AE101" s="43"/>
      <c r="AF101" s="43"/>
      <c r="AG101" s="75">
        <v>44890</v>
      </c>
      <c r="AH101" s="75">
        <v>44890</v>
      </c>
      <c r="AI101" s="78"/>
      <c r="AJ101" s="156"/>
      <c r="AK101" s="156"/>
      <c r="AL101" s="57" t="s">
        <v>31</v>
      </c>
      <c r="AM101" s="73">
        <v>35000</v>
      </c>
      <c r="AN101" s="44"/>
      <c r="AO101" s="44"/>
      <c r="AP101" s="73">
        <v>34673</v>
      </c>
      <c r="AQ101" s="44"/>
      <c r="AR101" s="44"/>
      <c r="AS101" s="40"/>
      <c r="AT101" s="40"/>
      <c r="AU101" s="40"/>
      <c r="AV101" s="40"/>
      <c r="AW101" s="40"/>
      <c r="AX101" s="40"/>
      <c r="AY101" s="40"/>
      <c r="AZ101" s="45"/>
    </row>
    <row r="102" spans="1:52" s="19" customFormat="1" ht="14.25" customHeight="1" x14ac:dyDescent="0.2">
      <c r="A102" s="72" t="s">
        <v>143</v>
      </c>
      <c r="B102" s="72" t="s">
        <v>185</v>
      </c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0"/>
      <c r="R102" s="40"/>
      <c r="S102" s="98" t="s">
        <v>236</v>
      </c>
      <c r="T102" s="73">
        <v>17500</v>
      </c>
      <c r="U102" s="41"/>
      <c r="V102" s="97" t="s">
        <v>165</v>
      </c>
      <c r="W102" s="42"/>
      <c r="X102" s="2">
        <v>53.9</v>
      </c>
      <c r="Y102" s="46"/>
      <c r="Z102" s="43"/>
      <c r="AA102" s="40"/>
      <c r="AB102" s="40"/>
      <c r="AC102" s="43"/>
      <c r="AD102" s="43"/>
      <c r="AE102" s="43"/>
      <c r="AF102" s="43"/>
      <c r="AG102" s="75">
        <v>44901</v>
      </c>
      <c r="AH102" s="75">
        <v>44901</v>
      </c>
      <c r="AI102" s="78"/>
      <c r="AJ102" s="156"/>
      <c r="AK102" s="156"/>
      <c r="AL102" s="57" t="s">
        <v>31</v>
      </c>
      <c r="AM102" s="73">
        <v>17500</v>
      </c>
      <c r="AN102" s="44"/>
      <c r="AO102" s="44"/>
      <c r="AP102" s="73">
        <v>17170</v>
      </c>
      <c r="AQ102" s="44"/>
      <c r="AR102" s="44"/>
      <c r="AS102" s="40"/>
      <c r="AT102" s="40"/>
      <c r="AU102" s="40"/>
      <c r="AV102" s="40"/>
      <c r="AW102" s="40"/>
      <c r="AX102" s="40"/>
      <c r="AY102" s="40"/>
      <c r="AZ102" s="45"/>
    </row>
    <row r="103" spans="1:52" s="19" customFormat="1" ht="14.25" customHeight="1" x14ac:dyDescent="0.2">
      <c r="A103" s="72" t="s">
        <v>143</v>
      </c>
      <c r="B103" s="72" t="s">
        <v>128</v>
      </c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0"/>
      <c r="R103" s="40"/>
      <c r="S103" s="98" t="s">
        <v>236</v>
      </c>
      <c r="T103" s="73">
        <v>9500</v>
      </c>
      <c r="U103" s="41"/>
      <c r="V103" s="97" t="s">
        <v>163</v>
      </c>
      <c r="W103" s="42"/>
      <c r="X103" s="2">
        <v>53.9</v>
      </c>
      <c r="Y103" s="46"/>
      <c r="Z103" s="43"/>
      <c r="AA103" s="40"/>
      <c r="AB103" s="40"/>
      <c r="AC103" s="43"/>
      <c r="AD103" s="43"/>
      <c r="AE103" s="43"/>
      <c r="AF103" s="43"/>
      <c r="AG103" s="75">
        <v>44715</v>
      </c>
      <c r="AH103" s="75">
        <v>44715</v>
      </c>
      <c r="AI103" s="77">
        <v>44809</v>
      </c>
      <c r="AJ103" s="77">
        <v>44816</v>
      </c>
      <c r="AK103" s="77">
        <v>44816</v>
      </c>
      <c r="AL103" s="57" t="s">
        <v>31</v>
      </c>
      <c r="AM103" s="73">
        <v>9500</v>
      </c>
      <c r="AN103" s="44"/>
      <c r="AO103" s="44"/>
      <c r="AP103" s="73">
        <v>9391.25</v>
      </c>
      <c r="AQ103" s="44"/>
      <c r="AR103" s="44"/>
      <c r="AS103" s="40"/>
      <c r="AT103" s="40"/>
      <c r="AU103" s="40"/>
      <c r="AV103" s="40"/>
      <c r="AW103" s="40"/>
      <c r="AX103" s="40"/>
      <c r="AY103" s="40"/>
      <c r="AZ103" s="45"/>
    </row>
    <row r="104" spans="1:52" s="19" customFormat="1" ht="14.25" customHeight="1" x14ac:dyDescent="0.2">
      <c r="A104" s="72" t="s">
        <v>141</v>
      </c>
      <c r="B104" s="72" t="s">
        <v>130</v>
      </c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0"/>
      <c r="R104" s="40"/>
      <c r="S104" s="98" t="s">
        <v>236</v>
      </c>
      <c r="T104" s="73">
        <v>5000</v>
      </c>
      <c r="U104" s="41"/>
      <c r="V104" s="97" t="s">
        <v>163</v>
      </c>
      <c r="W104" s="42"/>
      <c r="X104" s="2">
        <v>53.9</v>
      </c>
      <c r="Y104" s="46"/>
      <c r="Z104" s="43"/>
      <c r="AA104" s="40"/>
      <c r="AB104" s="40"/>
      <c r="AC104" s="43"/>
      <c r="AD104" s="43"/>
      <c r="AE104" s="43"/>
      <c r="AF104" s="43"/>
      <c r="AG104" s="75">
        <v>44715</v>
      </c>
      <c r="AH104" s="75">
        <v>44715</v>
      </c>
      <c r="AI104" s="77">
        <v>44868</v>
      </c>
      <c r="AJ104" s="79">
        <v>44875</v>
      </c>
      <c r="AK104" s="79">
        <v>44875</v>
      </c>
      <c r="AL104" s="57" t="s">
        <v>31</v>
      </c>
      <c r="AM104" s="73">
        <v>5000</v>
      </c>
      <c r="AN104" s="44"/>
      <c r="AO104" s="44"/>
      <c r="AP104" s="73">
        <v>4985</v>
      </c>
      <c r="AQ104" s="44"/>
      <c r="AR104" s="44"/>
      <c r="AS104" s="40"/>
      <c r="AT104" s="40"/>
      <c r="AU104" s="40"/>
      <c r="AV104" s="40"/>
      <c r="AW104" s="40"/>
      <c r="AX104" s="40"/>
      <c r="AY104" s="40"/>
      <c r="AZ104" s="45"/>
    </row>
    <row r="105" spans="1:52" s="19" customFormat="1" ht="14.25" customHeight="1" x14ac:dyDescent="0.2">
      <c r="A105" s="72" t="s">
        <v>145</v>
      </c>
      <c r="B105" s="72" t="s">
        <v>118</v>
      </c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0"/>
      <c r="R105" s="40"/>
      <c r="S105" s="98" t="s">
        <v>236</v>
      </c>
      <c r="T105" s="73">
        <v>18000</v>
      </c>
      <c r="U105" s="41"/>
      <c r="V105" s="97" t="s">
        <v>163</v>
      </c>
      <c r="W105" s="42"/>
      <c r="X105" s="2">
        <v>53.9</v>
      </c>
      <c r="Y105" s="46"/>
      <c r="Z105" s="43"/>
      <c r="AA105" s="40"/>
      <c r="AB105" s="40"/>
      <c r="AC105" s="43"/>
      <c r="AD105" s="43"/>
      <c r="AE105" s="43"/>
      <c r="AF105" s="43"/>
      <c r="AG105" s="75">
        <v>44736</v>
      </c>
      <c r="AH105" s="75">
        <v>44736</v>
      </c>
      <c r="AI105" s="77">
        <v>44868</v>
      </c>
      <c r="AJ105" s="79">
        <v>44875</v>
      </c>
      <c r="AK105" s="79">
        <v>44875</v>
      </c>
      <c r="AL105" s="57" t="s">
        <v>31</v>
      </c>
      <c r="AM105" s="73">
        <v>18000</v>
      </c>
      <c r="AN105" s="44"/>
      <c r="AO105" s="44"/>
      <c r="AP105" s="73">
        <v>17860</v>
      </c>
      <c r="AQ105" s="44"/>
      <c r="AR105" s="44"/>
      <c r="AS105" s="40"/>
      <c r="AT105" s="40"/>
      <c r="AU105" s="40"/>
      <c r="AV105" s="40"/>
      <c r="AW105" s="40"/>
      <c r="AX105" s="40"/>
      <c r="AY105" s="40"/>
      <c r="AZ105" s="45"/>
    </row>
    <row r="106" spans="1:52" s="19" customFormat="1" ht="14.25" customHeight="1" x14ac:dyDescent="0.2">
      <c r="A106" s="72" t="s">
        <v>146</v>
      </c>
      <c r="B106" s="72" t="s">
        <v>239</v>
      </c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0"/>
      <c r="R106" s="40"/>
      <c r="S106" s="98" t="s">
        <v>236</v>
      </c>
      <c r="T106" s="73">
        <v>220000</v>
      </c>
      <c r="U106" s="41"/>
      <c r="V106" s="97" t="s">
        <v>163</v>
      </c>
      <c r="W106" s="42"/>
      <c r="X106" s="2">
        <v>53.9</v>
      </c>
      <c r="Y106" s="46"/>
      <c r="Z106" s="43"/>
      <c r="AA106" s="40"/>
      <c r="AB106" s="40"/>
      <c r="AC106" s="43"/>
      <c r="AD106" s="43"/>
      <c r="AE106" s="43"/>
      <c r="AF106" s="43"/>
      <c r="AG106" s="75">
        <v>44749</v>
      </c>
      <c r="AH106" s="75">
        <v>44749</v>
      </c>
      <c r="AI106" s="77">
        <v>44845</v>
      </c>
      <c r="AJ106" s="77">
        <v>44851</v>
      </c>
      <c r="AK106" s="77">
        <v>44851</v>
      </c>
      <c r="AL106" s="57" t="s">
        <v>31</v>
      </c>
      <c r="AM106" s="73">
        <v>220000</v>
      </c>
      <c r="AN106" s="44"/>
      <c r="AO106" s="44"/>
      <c r="AP106" s="73">
        <v>218314</v>
      </c>
      <c r="AQ106" s="44"/>
      <c r="AR106" s="44"/>
      <c r="AS106" s="40"/>
      <c r="AT106" s="40"/>
      <c r="AU106" s="40"/>
      <c r="AV106" s="40"/>
      <c r="AW106" s="40"/>
      <c r="AX106" s="40"/>
      <c r="AY106" s="40"/>
      <c r="AZ106" s="45"/>
    </row>
    <row r="107" spans="1:52" s="19" customFormat="1" ht="14.25" customHeight="1" x14ac:dyDescent="0.2">
      <c r="A107" s="72" t="s">
        <v>147</v>
      </c>
      <c r="B107" s="72" t="s">
        <v>119</v>
      </c>
      <c r="C107" s="40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0"/>
      <c r="R107" s="40"/>
      <c r="S107" s="98" t="s">
        <v>236</v>
      </c>
      <c r="T107" s="73">
        <v>8000</v>
      </c>
      <c r="U107" s="41"/>
      <c r="V107" s="97" t="s">
        <v>163</v>
      </c>
      <c r="W107" s="42"/>
      <c r="X107" s="2">
        <v>53.9</v>
      </c>
      <c r="Y107" s="46"/>
      <c r="Z107" s="43"/>
      <c r="AA107" s="40"/>
      <c r="AB107" s="40"/>
      <c r="AC107" s="43"/>
      <c r="AD107" s="43"/>
      <c r="AE107" s="43"/>
      <c r="AF107" s="43"/>
      <c r="AG107" s="75">
        <v>44747</v>
      </c>
      <c r="AH107" s="75">
        <v>44747</v>
      </c>
      <c r="AI107" s="77">
        <v>44868</v>
      </c>
      <c r="AJ107" s="77">
        <v>44875</v>
      </c>
      <c r="AK107" s="77">
        <v>44875</v>
      </c>
      <c r="AL107" s="57" t="s">
        <v>31</v>
      </c>
      <c r="AM107" s="73">
        <v>8000</v>
      </c>
      <c r="AN107" s="44"/>
      <c r="AO107" s="44"/>
      <c r="AP107" s="73">
        <v>7990</v>
      </c>
      <c r="AQ107" s="44"/>
      <c r="AR107" s="44"/>
      <c r="AS107" s="40"/>
      <c r="AT107" s="40"/>
      <c r="AU107" s="40"/>
      <c r="AV107" s="40"/>
      <c r="AW107" s="40"/>
      <c r="AX107" s="40"/>
      <c r="AY107" s="40"/>
      <c r="AZ107" s="45"/>
    </row>
    <row r="108" spans="1:52" s="19" customFormat="1" ht="14.25" customHeight="1" x14ac:dyDescent="0.2">
      <c r="A108" s="72" t="s">
        <v>137</v>
      </c>
      <c r="B108" s="153" t="s">
        <v>202</v>
      </c>
      <c r="C108" s="40"/>
      <c r="D108" s="40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0"/>
      <c r="R108" s="40"/>
      <c r="S108" s="98" t="s">
        <v>236</v>
      </c>
      <c r="T108" s="73">
        <v>10000</v>
      </c>
      <c r="U108" s="41"/>
      <c r="V108" s="97" t="s">
        <v>163</v>
      </c>
      <c r="W108" s="42"/>
      <c r="X108" s="2">
        <v>53.9</v>
      </c>
      <c r="Y108" s="46"/>
      <c r="Z108" s="43"/>
      <c r="AA108" s="40"/>
      <c r="AB108" s="40"/>
      <c r="AC108" s="43"/>
      <c r="AD108" s="43"/>
      <c r="AE108" s="43"/>
      <c r="AF108" s="43"/>
      <c r="AG108" s="75">
        <v>44756</v>
      </c>
      <c r="AH108" s="75">
        <v>44756</v>
      </c>
      <c r="AI108" s="77">
        <v>44830</v>
      </c>
      <c r="AJ108" s="77">
        <v>44837</v>
      </c>
      <c r="AK108" s="77">
        <v>44837</v>
      </c>
      <c r="AL108" s="57" t="s">
        <v>31</v>
      </c>
      <c r="AM108" s="73">
        <v>10000</v>
      </c>
      <c r="AN108" s="44"/>
      <c r="AO108" s="44"/>
      <c r="AP108" s="73">
        <v>9934</v>
      </c>
      <c r="AQ108" s="44"/>
      <c r="AR108" s="44"/>
      <c r="AS108" s="40"/>
      <c r="AT108" s="40"/>
      <c r="AU108" s="40"/>
      <c r="AV108" s="40"/>
      <c r="AW108" s="40"/>
      <c r="AX108" s="40"/>
      <c r="AY108" s="40"/>
      <c r="AZ108" s="45"/>
    </row>
    <row r="109" spans="1:52" s="19" customFormat="1" ht="14.25" customHeight="1" x14ac:dyDescent="0.2">
      <c r="A109" s="72" t="s">
        <v>145</v>
      </c>
      <c r="B109" s="153" t="s">
        <v>118</v>
      </c>
      <c r="C109" s="40"/>
      <c r="D109" s="40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0"/>
      <c r="R109" s="40"/>
      <c r="S109" s="98" t="s">
        <v>236</v>
      </c>
      <c r="T109" s="73">
        <v>10000</v>
      </c>
      <c r="U109" s="41"/>
      <c r="V109" s="97" t="s">
        <v>163</v>
      </c>
      <c r="W109" s="42"/>
      <c r="X109" s="2">
        <v>53.9</v>
      </c>
      <c r="Y109" s="46"/>
      <c r="Z109" s="43"/>
      <c r="AA109" s="40"/>
      <c r="AB109" s="40"/>
      <c r="AC109" s="43"/>
      <c r="AD109" s="43"/>
      <c r="AE109" s="43"/>
      <c r="AF109" s="43"/>
      <c r="AG109" s="75">
        <v>44756</v>
      </c>
      <c r="AH109" s="75">
        <v>44756</v>
      </c>
      <c r="AI109" s="77">
        <v>44834</v>
      </c>
      <c r="AJ109" s="77">
        <v>44841</v>
      </c>
      <c r="AK109" s="77">
        <v>44841</v>
      </c>
      <c r="AL109" s="57" t="s">
        <v>31</v>
      </c>
      <c r="AM109" s="73">
        <v>10000</v>
      </c>
      <c r="AN109" s="44"/>
      <c r="AO109" s="44"/>
      <c r="AP109" s="73">
        <v>9979</v>
      </c>
      <c r="AQ109" s="44"/>
      <c r="AR109" s="44"/>
      <c r="AS109" s="40"/>
      <c r="AT109" s="40"/>
      <c r="AU109" s="40"/>
      <c r="AV109" s="40"/>
      <c r="AW109" s="40"/>
      <c r="AX109" s="40"/>
      <c r="AY109" s="40"/>
      <c r="AZ109" s="45"/>
    </row>
    <row r="110" spans="1:52" s="19" customFormat="1" ht="14.25" customHeight="1" x14ac:dyDescent="0.2">
      <c r="A110" s="72" t="s">
        <v>147</v>
      </c>
      <c r="B110" s="153" t="s">
        <v>119</v>
      </c>
      <c r="C110" s="40"/>
      <c r="D110" s="40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0"/>
      <c r="R110" s="40"/>
      <c r="S110" s="98" t="s">
        <v>236</v>
      </c>
      <c r="T110" s="73">
        <v>8000</v>
      </c>
      <c r="U110" s="41"/>
      <c r="V110" s="97" t="s">
        <v>163</v>
      </c>
      <c r="W110" s="42"/>
      <c r="X110" s="2">
        <v>53.9</v>
      </c>
      <c r="Y110" s="46"/>
      <c r="Z110" s="43"/>
      <c r="AA110" s="40"/>
      <c r="AB110" s="40"/>
      <c r="AC110" s="43"/>
      <c r="AD110" s="43"/>
      <c r="AE110" s="43"/>
      <c r="AF110" s="43"/>
      <c r="AG110" s="75">
        <v>44770</v>
      </c>
      <c r="AH110" s="75">
        <v>44770</v>
      </c>
      <c r="AI110" s="78"/>
      <c r="AJ110" s="78"/>
      <c r="AK110" s="78"/>
      <c r="AL110" s="57" t="s">
        <v>31</v>
      </c>
      <c r="AM110" s="73">
        <v>8000</v>
      </c>
      <c r="AN110" s="44"/>
      <c r="AO110" s="44"/>
      <c r="AP110" s="73">
        <v>7988</v>
      </c>
      <c r="AQ110" s="44"/>
      <c r="AR110" s="44"/>
      <c r="AS110" s="40"/>
      <c r="AT110" s="40"/>
      <c r="AU110" s="40"/>
      <c r="AV110" s="40"/>
      <c r="AW110" s="40"/>
      <c r="AX110" s="40"/>
      <c r="AY110" s="40"/>
      <c r="AZ110" s="45"/>
    </row>
    <row r="111" spans="1:52" s="19" customFormat="1" ht="14.25" customHeight="1" x14ac:dyDescent="0.2">
      <c r="A111" s="72" t="s">
        <v>145</v>
      </c>
      <c r="B111" s="72" t="s">
        <v>118</v>
      </c>
      <c r="C111" s="40"/>
      <c r="D111" s="40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0"/>
      <c r="R111" s="40"/>
      <c r="S111" s="98" t="s">
        <v>236</v>
      </c>
      <c r="T111" s="73">
        <v>10000</v>
      </c>
      <c r="U111" s="41"/>
      <c r="V111" s="97" t="s">
        <v>163</v>
      </c>
      <c r="W111" s="42"/>
      <c r="X111" s="2">
        <v>53.9</v>
      </c>
      <c r="Y111" s="46"/>
      <c r="Z111" s="43"/>
      <c r="AA111" s="40"/>
      <c r="AB111" s="40"/>
      <c r="AC111" s="43"/>
      <c r="AD111" s="43"/>
      <c r="AE111" s="43"/>
      <c r="AF111" s="43"/>
      <c r="AG111" s="75">
        <v>44770</v>
      </c>
      <c r="AH111" s="75">
        <v>44770</v>
      </c>
      <c r="AI111" s="77">
        <v>44886</v>
      </c>
      <c r="AJ111" s="77">
        <v>44893</v>
      </c>
      <c r="AK111" s="77">
        <v>44893</v>
      </c>
      <c r="AL111" s="57" t="s">
        <v>31</v>
      </c>
      <c r="AM111" s="73">
        <v>10000</v>
      </c>
      <c r="AN111" s="44"/>
      <c r="AO111" s="44"/>
      <c r="AP111" s="73">
        <v>9970</v>
      </c>
      <c r="AQ111" s="44"/>
      <c r="AR111" s="44"/>
      <c r="AS111" s="40"/>
      <c r="AT111" s="40"/>
      <c r="AU111" s="40"/>
      <c r="AV111" s="40"/>
      <c r="AW111" s="40"/>
      <c r="AX111" s="40"/>
      <c r="AY111" s="40"/>
      <c r="AZ111" s="45"/>
    </row>
    <row r="112" spans="1:52" s="19" customFormat="1" ht="14.25" customHeight="1" x14ac:dyDescent="0.2">
      <c r="A112" s="72" t="s">
        <v>143</v>
      </c>
      <c r="B112" s="72" t="s">
        <v>117</v>
      </c>
      <c r="C112" s="40"/>
      <c r="D112" s="40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0"/>
      <c r="R112" s="40"/>
      <c r="S112" s="98" t="s">
        <v>236</v>
      </c>
      <c r="T112" s="73">
        <v>40000</v>
      </c>
      <c r="U112" s="41"/>
      <c r="V112" s="97" t="s">
        <v>163</v>
      </c>
      <c r="W112" s="42"/>
      <c r="X112" s="2">
        <v>53.9</v>
      </c>
      <c r="Y112" s="46"/>
      <c r="Z112" s="43"/>
      <c r="AA112" s="40"/>
      <c r="AB112" s="40"/>
      <c r="AC112" s="43"/>
      <c r="AD112" s="43"/>
      <c r="AE112" s="43"/>
      <c r="AF112" s="43"/>
      <c r="AG112" s="75">
        <v>44775</v>
      </c>
      <c r="AH112" s="75">
        <v>44775</v>
      </c>
      <c r="AI112" s="77">
        <v>44796</v>
      </c>
      <c r="AJ112" s="77">
        <v>44803</v>
      </c>
      <c r="AK112" s="77">
        <v>44803</v>
      </c>
      <c r="AL112" s="57" t="s">
        <v>31</v>
      </c>
      <c r="AM112" s="73">
        <v>40000</v>
      </c>
      <c r="AN112" s="44"/>
      <c r="AO112" s="44"/>
      <c r="AP112" s="73">
        <v>39845</v>
      </c>
      <c r="AQ112" s="44"/>
      <c r="AR112" s="44"/>
      <c r="AS112" s="40"/>
      <c r="AT112" s="40"/>
      <c r="AU112" s="40"/>
      <c r="AV112" s="40"/>
      <c r="AW112" s="40"/>
      <c r="AX112" s="40"/>
      <c r="AY112" s="40"/>
      <c r="AZ112" s="45"/>
    </row>
    <row r="113" spans="1:52" s="19" customFormat="1" ht="14.25" customHeight="1" x14ac:dyDescent="0.2">
      <c r="A113" s="72" t="s">
        <v>252</v>
      </c>
      <c r="B113" s="72" t="s">
        <v>253</v>
      </c>
      <c r="C113" s="40"/>
      <c r="D113" s="40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0"/>
      <c r="R113" s="40"/>
      <c r="S113" s="98" t="s">
        <v>236</v>
      </c>
      <c r="T113" s="73">
        <v>18000</v>
      </c>
      <c r="U113" s="41"/>
      <c r="V113" s="97" t="s">
        <v>163</v>
      </c>
      <c r="W113" s="42"/>
      <c r="X113" s="2">
        <v>53.9</v>
      </c>
      <c r="Y113" s="46"/>
      <c r="Z113" s="43"/>
      <c r="AA113" s="40"/>
      <c r="AB113" s="40"/>
      <c r="AC113" s="43"/>
      <c r="AD113" s="43"/>
      <c r="AE113" s="43"/>
      <c r="AF113" s="43"/>
      <c r="AG113" s="75">
        <v>44776</v>
      </c>
      <c r="AH113" s="75">
        <v>44776</v>
      </c>
      <c r="AI113" s="77">
        <v>44847</v>
      </c>
      <c r="AJ113" s="77">
        <v>44854</v>
      </c>
      <c r="AK113" s="77">
        <v>44854</v>
      </c>
      <c r="AL113" s="57" t="s">
        <v>31</v>
      </c>
      <c r="AM113" s="73">
        <v>18000</v>
      </c>
      <c r="AN113" s="44"/>
      <c r="AO113" s="44"/>
      <c r="AP113" s="73">
        <v>17930</v>
      </c>
      <c r="AQ113" s="44"/>
      <c r="AR113" s="44"/>
      <c r="AS113" s="40"/>
      <c r="AT113" s="40"/>
      <c r="AU113" s="40"/>
      <c r="AV113" s="40"/>
      <c r="AW113" s="40"/>
      <c r="AX113" s="40"/>
      <c r="AY113" s="40"/>
      <c r="AZ113" s="45"/>
    </row>
    <row r="114" spans="1:52" s="19" customFormat="1" ht="14.25" customHeight="1" x14ac:dyDescent="0.2">
      <c r="A114" s="72" t="s">
        <v>146</v>
      </c>
      <c r="B114" s="72" t="s">
        <v>211</v>
      </c>
      <c r="C114" s="40"/>
      <c r="D114" s="40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0"/>
      <c r="R114" s="40"/>
      <c r="S114" s="98" t="s">
        <v>236</v>
      </c>
      <c r="T114" s="73">
        <v>114000</v>
      </c>
      <c r="U114" s="41"/>
      <c r="V114" s="97" t="s">
        <v>163</v>
      </c>
      <c r="W114" s="42"/>
      <c r="X114" s="2">
        <v>53.9</v>
      </c>
      <c r="Y114" s="46"/>
      <c r="Z114" s="43"/>
      <c r="AA114" s="40"/>
      <c r="AB114" s="40"/>
      <c r="AC114" s="43"/>
      <c r="AD114" s="43"/>
      <c r="AE114" s="43"/>
      <c r="AF114" s="43"/>
      <c r="AG114" s="75">
        <v>44781</v>
      </c>
      <c r="AH114" s="75">
        <v>44781</v>
      </c>
      <c r="AI114" s="78"/>
      <c r="AJ114" s="77"/>
      <c r="AK114" s="77"/>
      <c r="AL114" s="57" t="s">
        <v>31</v>
      </c>
      <c r="AM114" s="73">
        <v>114000</v>
      </c>
      <c r="AN114" s="44"/>
      <c r="AO114" s="44"/>
      <c r="AP114" s="73">
        <v>112804</v>
      </c>
      <c r="AQ114" s="44"/>
      <c r="AR114" s="44"/>
      <c r="AS114" s="40"/>
      <c r="AT114" s="40"/>
      <c r="AU114" s="40"/>
      <c r="AV114" s="40"/>
      <c r="AW114" s="40"/>
      <c r="AX114" s="40"/>
      <c r="AY114" s="40"/>
      <c r="AZ114" s="45"/>
    </row>
    <row r="115" spans="1:52" s="19" customFormat="1" ht="14.25" customHeight="1" x14ac:dyDescent="0.2">
      <c r="A115" s="72" t="s">
        <v>142</v>
      </c>
      <c r="B115" s="72" t="s">
        <v>187</v>
      </c>
      <c r="C115" s="40"/>
      <c r="D115" s="40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0"/>
      <c r="R115" s="40"/>
      <c r="S115" s="98" t="s">
        <v>236</v>
      </c>
      <c r="T115" s="73">
        <v>36000</v>
      </c>
      <c r="U115" s="41"/>
      <c r="V115" s="97" t="s">
        <v>163</v>
      </c>
      <c r="W115" s="42"/>
      <c r="X115" s="2">
        <v>53.9</v>
      </c>
      <c r="Y115" s="46"/>
      <c r="Z115" s="43"/>
      <c r="AA115" s="40"/>
      <c r="AB115" s="40"/>
      <c r="AC115" s="43"/>
      <c r="AD115" s="43"/>
      <c r="AE115" s="43"/>
      <c r="AF115" s="43"/>
      <c r="AG115" s="75">
        <v>44782</v>
      </c>
      <c r="AH115" s="75">
        <v>44782</v>
      </c>
      <c r="AI115" s="77">
        <v>44874</v>
      </c>
      <c r="AJ115" s="77">
        <v>44881</v>
      </c>
      <c r="AK115" s="77">
        <v>44881</v>
      </c>
      <c r="AL115" s="57" t="s">
        <v>31</v>
      </c>
      <c r="AM115" s="73">
        <v>36000</v>
      </c>
      <c r="AN115" s="44"/>
      <c r="AO115" s="44"/>
      <c r="AP115" s="73">
        <v>35892</v>
      </c>
      <c r="AQ115" s="44"/>
      <c r="AR115" s="44"/>
      <c r="AS115" s="40"/>
      <c r="AT115" s="40"/>
      <c r="AU115" s="40"/>
      <c r="AV115" s="40"/>
      <c r="AW115" s="40"/>
      <c r="AX115" s="40"/>
      <c r="AY115" s="40"/>
      <c r="AZ115" s="45"/>
    </row>
    <row r="116" spans="1:52" s="19" customFormat="1" ht="14.25" customHeight="1" x14ac:dyDescent="0.2">
      <c r="A116" s="72" t="s">
        <v>143</v>
      </c>
      <c r="B116" s="72" t="s">
        <v>117</v>
      </c>
      <c r="C116" s="40"/>
      <c r="D116" s="40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0"/>
      <c r="R116" s="40"/>
      <c r="S116" s="98" t="s">
        <v>236</v>
      </c>
      <c r="T116" s="73">
        <v>4500</v>
      </c>
      <c r="U116" s="41"/>
      <c r="V116" s="97" t="s">
        <v>163</v>
      </c>
      <c r="W116" s="42"/>
      <c r="X116" s="2">
        <v>53.9</v>
      </c>
      <c r="Y116" s="46"/>
      <c r="Z116" s="43"/>
      <c r="AA116" s="40"/>
      <c r="AB116" s="40"/>
      <c r="AC116" s="43"/>
      <c r="AD116" s="43"/>
      <c r="AE116" s="43"/>
      <c r="AF116" s="43"/>
      <c r="AG116" s="75">
        <v>44782</v>
      </c>
      <c r="AH116" s="75">
        <v>44782</v>
      </c>
      <c r="AI116" s="77">
        <v>44826</v>
      </c>
      <c r="AJ116" s="77">
        <v>44832</v>
      </c>
      <c r="AK116" s="77">
        <v>44832</v>
      </c>
      <c r="AL116" s="57" t="s">
        <v>31</v>
      </c>
      <c r="AM116" s="73">
        <v>4500</v>
      </c>
      <c r="AN116" s="44"/>
      <c r="AO116" s="44"/>
      <c r="AP116" s="73">
        <v>4449</v>
      </c>
      <c r="AQ116" s="44"/>
      <c r="AR116" s="44"/>
      <c r="AS116" s="40"/>
      <c r="AT116" s="40"/>
      <c r="AU116" s="40"/>
      <c r="AV116" s="40"/>
      <c r="AW116" s="40"/>
      <c r="AX116" s="40"/>
      <c r="AY116" s="40"/>
      <c r="AZ116" s="45"/>
    </row>
    <row r="117" spans="1:52" s="19" customFormat="1" ht="14.25" customHeight="1" x14ac:dyDescent="0.2">
      <c r="A117" s="72" t="s">
        <v>143</v>
      </c>
      <c r="B117" s="72" t="s">
        <v>254</v>
      </c>
      <c r="C117" s="40"/>
      <c r="D117" s="40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0"/>
      <c r="R117" s="40"/>
      <c r="S117" s="98" t="s">
        <v>236</v>
      </c>
      <c r="T117" s="73">
        <v>4500</v>
      </c>
      <c r="U117" s="41"/>
      <c r="V117" s="165" t="s">
        <v>163</v>
      </c>
      <c r="W117" s="42"/>
      <c r="X117" s="2">
        <v>53.9</v>
      </c>
      <c r="Y117" s="46"/>
      <c r="Z117" s="43"/>
      <c r="AA117" s="40"/>
      <c r="AB117" s="40"/>
      <c r="AC117" s="43"/>
      <c r="AD117" s="43"/>
      <c r="AE117" s="43"/>
      <c r="AF117" s="43"/>
      <c r="AG117" s="75">
        <v>44809</v>
      </c>
      <c r="AH117" s="75">
        <v>44809</v>
      </c>
      <c r="AI117" s="78"/>
      <c r="AJ117" s="78"/>
      <c r="AK117" s="78"/>
      <c r="AL117" s="57" t="s">
        <v>31</v>
      </c>
      <c r="AM117" s="73">
        <v>4500</v>
      </c>
      <c r="AN117" s="44"/>
      <c r="AO117" s="44"/>
      <c r="AP117" s="73">
        <v>4436.25</v>
      </c>
      <c r="AQ117" s="44"/>
      <c r="AR117" s="44"/>
      <c r="AS117" s="40"/>
      <c r="AT117" s="40"/>
      <c r="AU117" s="40"/>
      <c r="AV117" s="40"/>
      <c r="AW117" s="40"/>
      <c r="AX117" s="40"/>
      <c r="AY117" s="40"/>
      <c r="AZ117" s="45"/>
    </row>
    <row r="118" spans="1:52" s="19" customFormat="1" ht="14.25" customHeight="1" x14ac:dyDescent="0.2">
      <c r="A118" s="72" t="s">
        <v>140</v>
      </c>
      <c r="B118" s="72" t="s">
        <v>220</v>
      </c>
      <c r="C118" s="40"/>
      <c r="D118" s="40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0"/>
      <c r="R118" s="40"/>
      <c r="S118" s="98" t="s">
        <v>236</v>
      </c>
      <c r="T118" s="73">
        <v>5000</v>
      </c>
      <c r="U118" s="41"/>
      <c r="V118" s="165" t="s">
        <v>163</v>
      </c>
      <c r="W118" s="42"/>
      <c r="X118" s="2">
        <v>53.9</v>
      </c>
      <c r="Y118" s="46"/>
      <c r="Z118" s="43"/>
      <c r="AA118" s="40"/>
      <c r="AB118" s="40"/>
      <c r="AC118" s="43"/>
      <c r="AD118" s="43"/>
      <c r="AE118" s="43"/>
      <c r="AF118" s="43"/>
      <c r="AG118" s="75">
        <v>44809</v>
      </c>
      <c r="AH118" s="75">
        <v>44809</v>
      </c>
      <c r="AI118" s="77">
        <v>44852</v>
      </c>
      <c r="AJ118" s="77">
        <v>44859</v>
      </c>
      <c r="AK118" s="77">
        <v>44859</v>
      </c>
      <c r="AL118" s="57" t="s">
        <v>31</v>
      </c>
      <c r="AM118" s="73">
        <v>5000</v>
      </c>
      <c r="AN118" s="44"/>
      <c r="AO118" s="44"/>
      <c r="AP118" s="73">
        <v>4973</v>
      </c>
      <c r="AQ118" s="44"/>
      <c r="AR118" s="44"/>
      <c r="AS118" s="40"/>
      <c r="AT118" s="40"/>
      <c r="AU118" s="40"/>
      <c r="AV118" s="40"/>
      <c r="AW118" s="40"/>
      <c r="AX118" s="40"/>
      <c r="AY118" s="40"/>
      <c r="AZ118" s="45"/>
    </row>
    <row r="119" spans="1:52" s="19" customFormat="1" ht="14.25" customHeight="1" x14ac:dyDescent="0.2">
      <c r="A119" s="72" t="s">
        <v>137</v>
      </c>
      <c r="B119" s="72" t="s">
        <v>112</v>
      </c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0"/>
      <c r="R119" s="40"/>
      <c r="S119" s="98" t="s">
        <v>236</v>
      </c>
      <c r="T119" s="73">
        <v>8000</v>
      </c>
      <c r="U119" s="41"/>
      <c r="V119" s="97" t="s">
        <v>163</v>
      </c>
      <c r="W119" s="42"/>
      <c r="X119" s="2">
        <v>53.9</v>
      </c>
      <c r="Y119" s="46"/>
      <c r="Z119" s="43"/>
      <c r="AA119" s="40"/>
      <c r="AB119" s="40"/>
      <c r="AC119" s="43"/>
      <c r="AD119" s="43"/>
      <c r="AE119" s="43"/>
      <c r="AF119" s="43"/>
      <c r="AG119" s="75">
        <v>44809</v>
      </c>
      <c r="AH119" s="75">
        <v>44809</v>
      </c>
      <c r="AI119" s="77">
        <v>44868</v>
      </c>
      <c r="AJ119" s="77">
        <v>44875</v>
      </c>
      <c r="AK119" s="77">
        <v>44875</v>
      </c>
      <c r="AL119" s="57" t="s">
        <v>31</v>
      </c>
      <c r="AM119" s="73">
        <v>8000</v>
      </c>
      <c r="AN119" s="44"/>
      <c r="AO119" s="44"/>
      <c r="AP119" s="73">
        <v>7936</v>
      </c>
      <c r="AQ119" s="44"/>
      <c r="AR119" s="44"/>
      <c r="AS119" s="40"/>
      <c r="AT119" s="40"/>
      <c r="AU119" s="40"/>
      <c r="AV119" s="40"/>
      <c r="AW119" s="40"/>
      <c r="AX119" s="40"/>
      <c r="AY119" s="40"/>
      <c r="AZ119" s="45"/>
    </row>
    <row r="120" spans="1:52" s="19" customFormat="1" ht="14.25" customHeight="1" x14ac:dyDescent="0.2">
      <c r="A120" s="72" t="s">
        <v>147</v>
      </c>
      <c r="B120" s="72" t="s">
        <v>119</v>
      </c>
      <c r="C120" s="40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0"/>
      <c r="R120" s="40"/>
      <c r="S120" s="98" t="s">
        <v>236</v>
      </c>
      <c r="T120" s="73">
        <v>8000</v>
      </c>
      <c r="U120" s="41"/>
      <c r="V120" s="97" t="s">
        <v>163</v>
      </c>
      <c r="W120" s="42"/>
      <c r="X120" s="2">
        <v>53.9</v>
      </c>
      <c r="Y120" s="46"/>
      <c r="Z120" s="43"/>
      <c r="AA120" s="40"/>
      <c r="AB120" s="40"/>
      <c r="AC120" s="43"/>
      <c r="AD120" s="43"/>
      <c r="AE120" s="43"/>
      <c r="AF120" s="43"/>
      <c r="AG120" s="75">
        <v>44824</v>
      </c>
      <c r="AH120" s="75">
        <v>44824</v>
      </c>
      <c r="AI120" s="77">
        <v>44886</v>
      </c>
      <c r="AJ120" s="77">
        <v>44893</v>
      </c>
      <c r="AK120" s="77">
        <v>44893</v>
      </c>
      <c r="AL120" s="57" t="s">
        <v>31</v>
      </c>
      <c r="AM120" s="73">
        <v>8000</v>
      </c>
      <c r="AN120" s="44"/>
      <c r="AO120" s="44"/>
      <c r="AP120" s="73">
        <v>7945</v>
      </c>
      <c r="AQ120" s="44"/>
      <c r="AR120" s="44"/>
      <c r="AS120" s="40"/>
      <c r="AT120" s="40"/>
      <c r="AU120" s="40"/>
      <c r="AV120" s="40"/>
      <c r="AW120" s="40"/>
      <c r="AX120" s="40"/>
      <c r="AY120" s="40"/>
      <c r="AZ120" s="45"/>
    </row>
    <row r="121" spans="1:52" s="19" customFormat="1" ht="14.25" customHeight="1" x14ac:dyDescent="0.2">
      <c r="A121" s="72" t="s">
        <v>142</v>
      </c>
      <c r="B121" s="153" t="s">
        <v>116</v>
      </c>
      <c r="C121" s="40"/>
      <c r="D121" s="40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0"/>
      <c r="R121" s="40"/>
      <c r="S121" s="98" t="s">
        <v>236</v>
      </c>
      <c r="T121" s="73">
        <v>36000</v>
      </c>
      <c r="U121" s="41"/>
      <c r="V121" s="165" t="s">
        <v>163</v>
      </c>
      <c r="W121" s="42"/>
      <c r="X121" s="2">
        <v>53.9</v>
      </c>
      <c r="Y121" s="46"/>
      <c r="Z121" s="43"/>
      <c r="AA121" s="40"/>
      <c r="AB121" s="40"/>
      <c r="AC121" s="43"/>
      <c r="AD121" s="43"/>
      <c r="AE121" s="43"/>
      <c r="AF121" s="43"/>
      <c r="AG121" s="75">
        <v>44851</v>
      </c>
      <c r="AH121" s="75">
        <v>44851</v>
      </c>
      <c r="AI121" s="78"/>
      <c r="AJ121" s="78"/>
      <c r="AK121" s="78"/>
      <c r="AL121" s="57" t="s">
        <v>31</v>
      </c>
      <c r="AM121" s="73">
        <v>36000</v>
      </c>
      <c r="AN121" s="44"/>
      <c r="AO121" s="44"/>
      <c r="AP121" s="73">
        <v>35280</v>
      </c>
      <c r="AQ121" s="44"/>
      <c r="AR121" s="44"/>
      <c r="AS121" s="40"/>
      <c r="AT121" s="40"/>
      <c r="AU121" s="40"/>
      <c r="AV121" s="40"/>
      <c r="AW121" s="40"/>
      <c r="AX121" s="40"/>
      <c r="AY121" s="40"/>
      <c r="AZ121" s="45"/>
    </row>
    <row r="122" spans="1:52" s="19" customFormat="1" ht="14.25" customHeight="1" x14ac:dyDescent="0.2">
      <c r="A122" s="72" t="s">
        <v>147</v>
      </c>
      <c r="B122" s="72" t="s">
        <v>184</v>
      </c>
      <c r="C122" s="40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0"/>
      <c r="R122" s="40"/>
      <c r="S122" s="98" t="s">
        <v>236</v>
      </c>
      <c r="T122" s="73">
        <v>8000</v>
      </c>
      <c r="U122" s="41"/>
      <c r="V122" s="97" t="s">
        <v>163</v>
      </c>
      <c r="W122" s="42"/>
      <c r="X122" s="2">
        <v>53.9</v>
      </c>
      <c r="Y122" s="46"/>
      <c r="Z122" s="43"/>
      <c r="AA122" s="40"/>
      <c r="AB122" s="40"/>
      <c r="AC122" s="43"/>
      <c r="AD122" s="43"/>
      <c r="AE122" s="43"/>
      <c r="AF122" s="43"/>
      <c r="AG122" s="75">
        <v>44859</v>
      </c>
      <c r="AH122" s="75">
        <v>44859</v>
      </c>
      <c r="AI122" s="78"/>
      <c r="AJ122" s="78"/>
      <c r="AK122" s="78"/>
      <c r="AL122" s="57" t="s">
        <v>31</v>
      </c>
      <c r="AM122" s="73">
        <v>8000</v>
      </c>
      <c r="AN122" s="44"/>
      <c r="AO122" s="44"/>
      <c r="AP122" s="73">
        <v>7982</v>
      </c>
      <c r="AQ122" s="44"/>
      <c r="AR122" s="44"/>
      <c r="AS122" s="40"/>
      <c r="AT122" s="40"/>
      <c r="AU122" s="40"/>
      <c r="AV122" s="40"/>
      <c r="AW122" s="40"/>
      <c r="AX122" s="40"/>
      <c r="AY122" s="40"/>
      <c r="AZ122" s="45"/>
    </row>
    <row r="123" spans="1:52" s="19" customFormat="1" ht="14.25" customHeight="1" x14ac:dyDescent="0.2">
      <c r="A123" s="72" t="s">
        <v>145</v>
      </c>
      <c r="B123" s="72" t="s">
        <v>201</v>
      </c>
      <c r="C123" s="40"/>
      <c r="D123" s="40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0"/>
      <c r="R123" s="40"/>
      <c r="S123" s="98" t="s">
        <v>236</v>
      </c>
      <c r="T123" s="73">
        <v>10000</v>
      </c>
      <c r="U123" s="41"/>
      <c r="V123" s="97" t="s">
        <v>163</v>
      </c>
      <c r="W123" s="42"/>
      <c r="X123" s="2">
        <v>53.9</v>
      </c>
      <c r="Y123" s="46"/>
      <c r="Z123" s="43"/>
      <c r="AA123" s="40"/>
      <c r="AB123" s="40"/>
      <c r="AC123" s="43"/>
      <c r="AD123" s="43"/>
      <c r="AE123" s="43"/>
      <c r="AF123" s="43"/>
      <c r="AG123" s="75">
        <v>44859</v>
      </c>
      <c r="AH123" s="75">
        <v>44859</v>
      </c>
      <c r="AI123" s="78"/>
      <c r="AJ123" s="78"/>
      <c r="AK123" s="78"/>
      <c r="AL123" s="57" t="s">
        <v>31</v>
      </c>
      <c r="AM123" s="73">
        <v>10000</v>
      </c>
      <c r="AN123" s="44"/>
      <c r="AO123" s="44"/>
      <c r="AP123" s="73">
        <v>9979</v>
      </c>
      <c r="AQ123" s="44"/>
      <c r="AR123" s="44"/>
      <c r="AS123" s="40"/>
      <c r="AT123" s="40"/>
      <c r="AU123" s="40"/>
      <c r="AV123" s="40"/>
      <c r="AW123" s="40"/>
      <c r="AX123" s="40"/>
      <c r="AY123" s="40"/>
      <c r="AZ123" s="45"/>
    </row>
    <row r="124" spans="1:52" s="19" customFormat="1" ht="14.25" customHeight="1" x14ac:dyDescent="0.2">
      <c r="A124" s="72" t="s">
        <v>146</v>
      </c>
      <c r="B124" s="72" t="s">
        <v>217</v>
      </c>
      <c r="C124" s="40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0"/>
      <c r="R124" s="40"/>
      <c r="S124" s="98" t="s">
        <v>236</v>
      </c>
      <c r="T124" s="73">
        <v>100000</v>
      </c>
      <c r="U124" s="41"/>
      <c r="V124" s="97" t="s">
        <v>163</v>
      </c>
      <c r="W124" s="42"/>
      <c r="X124" s="2">
        <v>53.9</v>
      </c>
      <c r="Y124" s="46"/>
      <c r="Z124" s="43"/>
      <c r="AA124" s="40"/>
      <c r="AB124" s="40"/>
      <c r="AC124" s="43"/>
      <c r="AD124" s="43"/>
      <c r="AE124" s="43"/>
      <c r="AF124" s="43"/>
      <c r="AG124" s="75">
        <v>44862</v>
      </c>
      <c r="AH124" s="75">
        <v>44862</v>
      </c>
      <c r="AI124" s="78"/>
      <c r="AJ124" s="156"/>
      <c r="AK124" s="156"/>
      <c r="AL124" s="57" t="s">
        <v>31</v>
      </c>
      <c r="AM124" s="73">
        <v>100000</v>
      </c>
      <c r="AN124" s="44"/>
      <c r="AO124" s="44"/>
      <c r="AP124" s="73">
        <v>99478</v>
      </c>
      <c r="AQ124" s="44"/>
      <c r="AR124" s="44"/>
      <c r="AS124" s="40"/>
      <c r="AT124" s="40"/>
      <c r="AU124" s="40"/>
      <c r="AV124" s="40"/>
      <c r="AW124" s="40"/>
      <c r="AX124" s="40"/>
      <c r="AY124" s="40"/>
      <c r="AZ124" s="45"/>
    </row>
    <row r="125" spans="1:52" s="19" customFormat="1" ht="14.25" customHeight="1" x14ac:dyDescent="0.2">
      <c r="A125" s="72" t="s">
        <v>145</v>
      </c>
      <c r="B125" s="72" t="s">
        <v>255</v>
      </c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0"/>
      <c r="R125" s="40"/>
      <c r="S125" s="98" t="s">
        <v>236</v>
      </c>
      <c r="T125" s="73">
        <v>13000</v>
      </c>
      <c r="U125" s="41"/>
      <c r="V125" s="97" t="s">
        <v>163</v>
      </c>
      <c r="W125" s="42"/>
      <c r="X125" s="2">
        <v>53.9</v>
      </c>
      <c r="Y125" s="46"/>
      <c r="Z125" s="43"/>
      <c r="AA125" s="40"/>
      <c r="AB125" s="40"/>
      <c r="AC125" s="43"/>
      <c r="AD125" s="43"/>
      <c r="AE125" s="43"/>
      <c r="AF125" s="43"/>
      <c r="AG125" s="75">
        <v>44886</v>
      </c>
      <c r="AH125" s="75">
        <v>44886</v>
      </c>
      <c r="AI125" s="77">
        <v>44909</v>
      </c>
      <c r="AJ125" s="77">
        <v>44916</v>
      </c>
      <c r="AK125" s="77">
        <v>44916</v>
      </c>
      <c r="AL125" s="57" t="s">
        <v>31</v>
      </c>
      <c r="AM125" s="73">
        <v>13000</v>
      </c>
      <c r="AN125" s="44"/>
      <c r="AO125" s="44"/>
      <c r="AP125" s="73">
        <v>12979</v>
      </c>
      <c r="AQ125" s="44"/>
      <c r="AR125" s="44"/>
      <c r="AS125" s="40"/>
      <c r="AT125" s="40"/>
      <c r="AU125" s="40"/>
      <c r="AV125" s="40"/>
      <c r="AW125" s="40"/>
      <c r="AX125" s="40"/>
      <c r="AY125" s="40"/>
      <c r="AZ125" s="45"/>
    </row>
    <row r="126" spans="1:52" s="19" customFormat="1" ht="14.25" customHeight="1" x14ac:dyDescent="0.2">
      <c r="A126" s="72" t="s">
        <v>143</v>
      </c>
      <c r="B126" s="72" t="s">
        <v>185</v>
      </c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0"/>
      <c r="R126" s="40"/>
      <c r="S126" s="98" t="s">
        <v>236</v>
      </c>
      <c r="T126" s="73">
        <v>40000</v>
      </c>
      <c r="U126" s="41"/>
      <c r="V126" s="78" t="s">
        <v>163</v>
      </c>
      <c r="W126" s="42"/>
      <c r="X126" s="2">
        <v>53.9</v>
      </c>
      <c r="Y126" s="46"/>
      <c r="Z126" s="43"/>
      <c r="AA126" s="40"/>
      <c r="AB126" s="40"/>
      <c r="AC126" s="43"/>
      <c r="AD126" s="43"/>
      <c r="AE126" s="43"/>
      <c r="AF126" s="43"/>
      <c r="AG126" s="75">
        <v>44886</v>
      </c>
      <c r="AH126" s="75">
        <v>44886</v>
      </c>
      <c r="AI126" s="78"/>
      <c r="AJ126" s="156"/>
      <c r="AK126" s="156"/>
      <c r="AL126" s="57" t="s">
        <v>31</v>
      </c>
      <c r="AM126" s="73">
        <v>40000</v>
      </c>
      <c r="AN126" s="44"/>
      <c r="AO126" s="44"/>
      <c r="AP126" s="73">
        <v>39875</v>
      </c>
      <c r="AQ126" s="44"/>
      <c r="AR126" s="44"/>
      <c r="AS126" s="40"/>
      <c r="AT126" s="40"/>
      <c r="AU126" s="40"/>
      <c r="AV126" s="40"/>
      <c r="AW126" s="40"/>
      <c r="AX126" s="40"/>
      <c r="AY126" s="40"/>
      <c r="AZ126" s="45"/>
    </row>
    <row r="127" spans="1:52" s="19" customFormat="1" ht="14.25" customHeight="1" x14ac:dyDescent="0.2">
      <c r="A127" s="72" t="s">
        <v>143</v>
      </c>
      <c r="B127" s="72" t="s">
        <v>185</v>
      </c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0"/>
      <c r="R127" s="40"/>
      <c r="S127" s="98" t="s">
        <v>236</v>
      </c>
      <c r="T127" s="73">
        <v>40000</v>
      </c>
      <c r="U127" s="41"/>
      <c r="V127" s="78" t="s">
        <v>163</v>
      </c>
      <c r="W127" s="42"/>
      <c r="X127" s="2">
        <v>53.9</v>
      </c>
      <c r="Y127" s="46"/>
      <c r="Z127" s="43"/>
      <c r="AA127" s="40"/>
      <c r="AB127" s="40"/>
      <c r="AC127" s="43"/>
      <c r="AD127" s="43"/>
      <c r="AE127" s="43"/>
      <c r="AF127" s="43"/>
      <c r="AG127" s="75">
        <v>44886</v>
      </c>
      <c r="AH127" s="75">
        <v>44886</v>
      </c>
      <c r="AI127" s="78"/>
      <c r="AJ127" s="156"/>
      <c r="AK127" s="156"/>
      <c r="AL127" s="57" t="s">
        <v>31</v>
      </c>
      <c r="AM127" s="73">
        <v>40000</v>
      </c>
      <c r="AN127" s="44"/>
      <c r="AO127" s="44"/>
      <c r="AP127" s="73">
        <v>39805</v>
      </c>
      <c r="AQ127" s="44"/>
      <c r="AR127" s="44"/>
      <c r="AS127" s="40"/>
      <c r="AT127" s="40"/>
      <c r="AU127" s="40"/>
      <c r="AV127" s="40"/>
      <c r="AW127" s="40"/>
      <c r="AX127" s="40"/>
      <c r="AY127" s="40"/>
      <c r="AZ127" s="45"/>
    </row>
    <row r="128" spans="1:52" s="19" customFormat="1" ht="14.25" customHeight="1" x14ac:dyDescent="0.2">
      <c r="A128" s="72" t="s">
        <v>151</v>
      </c>
      <c r="B128" s="72" t="s">
        <v>251</v>
      </c>
      <c r="C128" s="40"/>
      <c r="D128" s="40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0"/>
      <c r="R128" s="40"/>
      <c r="S128" s="98" t="s">
        <v>236</v>
      </c>
      <c r="T128" s="73">
        <v>186000</v>
      </c>
      <c r="U128" s="41"/>
      <c r="V128" s="97" t="s">
        <v>163</v>
      </c>
      <c r="W128" s="42"/>
      <c r="X128" s="2">
        <v>53.9</v>
      </c>
      <c r="Y128" s="46"/>
      <c r="Z128" s="43"/>
      <c r="AA128" s="40"/>
      <c r="AB128" s="40"/>
      <c r="AC128" s="43"/>
      <c r="AD128" s="43"/>
      <c r="AE128" s="43"/>
      <c r="AF128" s="43"/>
      <c r="AG128" s="75">
        <v>44886</v>
      </c>
      <c r="AH128" s="75">
        <v>44886</v>
      </c>
      <c r="AI128" s="78"/>
      <c r="AJ128" s="156"/>
      <c r="AK128" s="156"/>
      <c r="AL128" s="57" t="s">
        <v>31</v>
      </c>
      <c r="AM128" s="73">
        <v>186000</v>
      </c>
      <c r="AN128" s="44"/>
      <c r="AO128" s="44"/>
      <c r="AP128" s="73">
        <v>185520</v>
      </c>
      <c r="AQ128" s="44"/>
      <c r="AR128" s="44"/>
      <c r="AS128" s="40"/>
      <c r="AT128" s="40"/>
      <c r="AU128" s="40"/>
      <c r="AV128" s="40"/>
      <c r="AW128" s="40"/>
      <c r="AX128" s="40"/>
      <c r="AY128" s="40"/>
      <c r="AZ128" s="45"/>
    </row>
    <row r="129" spans="1:53" s="19" customFormat="1" ht="14.25" customHeight="1" x14ac:dyDescent="0.2">
      <c r="A129" s="72" t="s">
        <v>151</v>
      </c>
      <c r="B129" s="72" t="s">
        <v>251</v>
      </c>
      <c r="C129" s="40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0"/>
      <c r="R129" s="40"/>
      <c r="S129" s="98" t="s">
        <v>236</v>
      </c>
      <c r="T129" s="73">
        <v>64000</v>
      </c>
      <c r="U129" s="41"/>
      <c r="V129" s="97" t="s">
        <v>163</v>
      </c>
      <c r="W129" s="42"/>
      <c r="X129" s="2">
        <v>53.9</v>
      </c>
      <c r="Y129" s="46"/>
      <c r="Z129" s="43"/>
      <c r="AA129" s="40"/>
      <c r="AB129" s="40"/>
      <c r="AC129" s="43"/>
      <c r="AD129" s="43"/>
      <c r="AE129" s="43"/>
      <c r="AF129" s="43"/>
      <c r="AG129" s="75">
        <v>44901</v>
      </c>
      <c r="AH129" s="75">
        <v>44901</v>
      </c>
      <c r="AI129" s="78"/>
      <c r="AJ129" s="156"/>
      <c r="AK129" s="156"/>
      <c r="AL129" s="57" t="s">
        <v>31</v>
      </c>
      <c r="AM129" s="73">
        <v>64000</v>
      </c>
      <c r="AN129" s="44"/>
      <c r="AO129" s="44"/>
      <c r="AP129" s="73">
        <v>63832</v>
      </c>
      <c r="AQ129" s="44"/>
      <c r="AR129" s="44"/>
      <c r="AS129" s="40"/>
      <c r="AT129" s="40"/>
      <c r="AU129" s="40"/>
      <c r="AV129" s="40"/>
      <c r="AW129" s="40"/>
      <c r="AX129" s="40"/>
      <c r="AY129" s="40"/>
      <c r="AZ129" s="45"/>
    </row>
    <row r="130" spans="1:53" s="19" customFormat="1" ht="14.25" customHeight="1" x14ac:dyDescent="0.2">
      <c r="A130" s="72" t="s">
        <v>141</v>
      </c>
      <c r="B130" s="72" t="s">
        <v>245</v>
      </c>
      <c r="C130" s="40"/>
      <c r="D130" s="40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0"/>
      <c r="R130" s="40"/>
      <c r="S130" s="98" t="s">
        <v>236</v>
      </c>
      <c r="T130" s="73">
        <v>5000</v>
      </c>
      <c r="U130" s="41"/>
      <c r="V130" s="97" t="s">
        <v>163</v>
      </c>
      <c r="W130" s="42"/>
      <c r="X130" s="2">
        <v>53.9</v>
      </c>
      <c r="Y130" s="46"/>
      <c r="Z130" s="43"/>
      <c r="AA130" s="40"/>
      <c r="AB130" s="40"/>
      <c r="AC130" s="43"/>
      <c r="AD130" s="43"/>
      <c r="AE130" s="43"/>
      <c r="AF130" s="43"/>
      <c r="AG130" s="75">
        <v>44904</v>
      </c>
      <c r="AH130" s="75">
        <v>44904</v>
      </c>
      <c r="AI130" s="78"/>
      <c r="AJ130" s="78"/>
      <c r="AK130" s="78"/>
      <c r="AL130" s="57" t="s">
        <v>31</v>
      </c>
      <c r="AM130" s="73">
        <v>5000</v>
      </c>
      <c r="AN130" s="44"/>
      <c r="AO130" s="44"/>
      <c r="AP130" s="73">
        <v>4985</v>
      </c>
      <c r="AQ130" s="44"/>
      <c r="AR130" s="44"/>
      <c r="AS130" s="40"/>
      <c r="AT130" s="40"/>
      <c r="AU130" s="40"/>
      <c r="AV130" s="40"/>
      <c r="AW130" s="40"/>
      <c r="AX130" s="40"/>
      <c r="AY130" s="40"/>
      <c r="AZ130" s="45"/>
    </row>
    <row r="131" spans="1:53" s="19" customFormat="1" ht="14.25" customHeight="1" x14ac:dyDescent="0.2">
      <c r="A131" s="72" t="s">
        <v>146</v>
      </c>
      <c r="B131" s="72" t="s">
        <v>217</v>
      </c>
      <c r="C131" s="40"/>
      <c r="D131" s="40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0"/>
      <c r="R131" s="40"/>
      <c r="S131" s="98" t="s">
        <v>236</v>
      </c>
      <c r="T131" s="73">
        <v>120000</v>
      </c>
      <c r="U131" s="41"/>
      <c r="V131" s="78" t="s">
        <v>163</v>
      </c>
      <c r="W131" s="42"/>
      <c r="X131" s="2">
        <v>53.9</v>
      </c>
      <c r="Y131" s="46"/>
      <c r="Z131" s="43"/>
      <c r="AA131" s="40"/>
      <c r="AB131" s="40"/>
      <c r="AC131" s="43"/>
      <c r="AD131" s="43"/>
      <c r="AE131" s="43"/>
      <c r="AF131" s="43"/>
      <c r="AG131" s="75">
        <v>44914</v>
      </c>
      <c r="AH131" s="75">
        <v>44914</v>
      </c>
      <c r="AI131" s="78"/>
      <c r="AJ131" s="78"/>
      <c r="AK131" s="78"/>
      <c r="AL131" s="57" t="s">
        <v>31</v>
      </c>
      <c r="AM131" s="73">
        <v>120000</v>
      </c>
      <c r="AN131" s="44"/>
      <c r="AO131" s="44"/>
      <c r="AP131" s="73">
        <v>119184</v>
      </c>
      <c r="AQ131" s="44"/>
      <c r="AR131" s="44"/>
      <c r="AS131" s="40"/>
      <c r="AT131" s="40"/>
      <c r="AU131" s="40"/>
      <c r="AV131" s="40"/>
      <c r="AW131" s="40"/>
      <c r="AX131" s="40"/>
      <c r="AY131" s="40"/>
      <c r="AZ131" s="45"/>
    </row>
    <row r="132" spans="1:53" s="19" customFormat="1" ht="14.25" customHeight="1" x14ac:dyDescent="0.2">
      <c r="A132" s="72" t="s">
        <v>145</v>
      </c>
      <c r="B132" s="72" t="s">
        <v>201</v>
      </c>
      <c r="C132" s="40"/>
      <c r="D132" s="40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0"/>
      <c r="R132" s="40"/>
      <c r="S132" s="98" t="s">
        <v>236</v>
      </c>
      <c r="T132" s="73">
        <v>15000</v>
      </c>
      <c r="U132" s="41"/>
      <c r="V132" s="97" t="s">
        <v>163</v>
      </c>
      <c r="W132" s="42"/>
      <c r="X132" s="2">
        <v>53.9</v>
      </c>
      <c r="Y132" s="46"/>
      <c r="Z132" s="43"/>
      <c r="AA132" s="40"/>
      <c r="AB132" s="40"/>
      <c r="AC132" s="43"/>
      <c r="AD132" s="43"/>
      <c r="AE132" s="43"/>
      <c r="AF132" s="43"/>
      <c r="AG132" s="75">
        <v>44909</v>
      </c>
      <c r="AH132" s="75">
        <v>44909</v>
      </c>
      <c r="AI132" s="97"/>
      <c r="AJ132" s="97"/>
      <c r="AK132" s="97"/>
      <c r="AL132" s="57" t="s">
        <v>31</v>
      </c>
      <c r="AM132" s="158">
        <v>15000</v>
      </c>
      <c r="AN132" s="159"/>
      <c r="AO132" s="159"/>
      <c r="AP132" s="73">
        <v>14985</v>
      </c>
      <c r="AQ132" s="44"/>
      <c r="AR132" s="44"/>
      <c r="AS132" s="40"/>
      <c r="AT132" s="40"/>
      <c r="AU132" s="40"/>
      <c r="AV132" s="40"/>
      <c r="AW132" s="40"/>
      <c r="AX132" s="40"/>
      <c r="AY132" s="40"/>
      <c r="AZ132" s="45"/>
    </row>
    <row r="133" spans="1:53" s="19" customFormat="1" ht="12.75" x14ac:dyDescent="0.2">
      <c r="A133" s="245" t="s">
        <v>45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54">
        <f>SUM(AM45:AM132)</f>
        <v>8887151</v>
      </c>
      <c r="AN133" s="255"/>
      <c r="AO133" s="264"/>
      <c r="AP133" s="247"/>
      <c r="AQ133" s="247"/>
      <c r="AR133" s="247"/>
    </row>
    <row r="138" spans="1:53" ht="15" x14ac:dyDescent="0.2">
      <c r="V138" s="11" t="s">
        <v>46</v>
      </c>
      <c r="W138" s="11"/>
      <c r="X138" s="66"/>
      <c r="Y138" s="21"/>
      <c r="Z138" s="21"/>
      <c r="AA138" s="21"/>
      <c r="AB138" s="21"/>
      <c r="AC138" s="21"/>
      <c r="AD138" s="21"/>
      <c r="AE138" s="21"/>
      <c r="AF138" s="21"/>
      <c r="AG138" s="12" t="s">
        <v>47</v>
      </c>
      <c r="AI138" s="21"/>
      <c r="AJ138" s="51"/>
      <c r="AK138" s="21"/>
      <c r="AL138" s="59"/>
      <c r="AM138" s="39"/>
      <c r="AN138" s="23"/>
      <c r="AO138" s="23"/>
      <c r="AP138" s="39"/>
      <c r="AQ138" s="22"/>
      <c r="AR138" s="24" t="s">
        <v>48</v>
      </c>
      <c r="AS138" s="25"/>
      <c r="AU138" s="26"/>
      <c r="AV138" s="27"/>
      <c r="AW138" s="27"/>
      <c r="AX138" s="27"/>
      <c r="AY138" s="26"/>
      <c r="AZ138" s="26"/>
      <c r="BA138" s="26"/>
    </row>
    <row r="139" spans="1:53" ht="15" x14ac:dyDescent="0.2">
      <c r="V139" s="11"/>
      <c r="W139" s="11"/>
      <c r="X139" s="67"/>
      <c r="Y139" s="11"/>
      <c r="Z139" s="11"/>
      <c r="AA139" s="11"/>
      <c r="AB139" s="11"/>
      <c r="AC139" s="11"/>
      <c r="AD139" s="11"/>
      <c r="AE139" s="22"/>
      <c r="AF139" s="22"/>
      <c r="AG139" s="27"/>
      <c r="AI139" s="21"/>
      <c r="AJ139" s="52"/>
      <c r="AK139" s="21"/>
      <c r="AL139" s="59"/>
      <c r="AM139" s="39"/>
      <c r="AN139" s="23"/>
      <c r="AO139" s="23"/>
      <c r="AP139" s="39"/>
      <c r="AQ139" s="22"/>
      <c r="AR139" s="11"/>
      <c r="AS139" s="25"/>
      <c r="AU139" s="28"/>
      <c r="AV139" s="11"/>
      <c r="AW139" s="11"/>
      <c r="AX139" s="11"/>
      <c r="AY139" s="11"/>
      <c r="AZ139" s="11"/>
      <c r="BA139" s="11"/>
    </row>
    <row r="140" spans="1:53" ht="15" x14ac:dyDescent="0.2">
      <c r="V140" s="11"/>
      <c r="W140" s="11"/>
      <c r="X140" s="67"/>
      <c r="Y140" s="11"/>
      <c r="Z140" s="11"/>
      <c r="AA140" s="11"/>
      <c r="AB140" s="11"/>
      <c r="AC140" s="11"/>
      <c r="AD140" s="11"/>
      <c r="AE140" s="11"/>
      <c r="AF140" s="11"/>
      <c r="AG140" s="25"/>
      <c r="AI140" s="21"/>
      <c r="AJ140" s="51"/>
      <c r="AK140" s="21"/>
      <c r="AL140" s="59"/>
      <c r="AM140" s="39"/>
      <c r="AN140" s="23"/>
      <c r="AO140" s="23"/>
      <c r="AP140" s="39"/>
      <c r="AQ140" s="22"/>
      <c r="AR140" s="11"/>
      <c r="AS140" s="25"/>
      <c r="AU140" s="28"/>
      <c r="AV140" s="11"/>
      <c r="AW140" s="11"/>
      <c r="AX140" s="11"/>
      <c r="AY140" s="11"/>
      <c r="AZ140" s="11"/>
      <c r="BA140" s="11"/>
    </row>
    <row r="141" spans="1:53" ht="15" x14ac:dyDescent="0.2">
      <c r="V141" s="21"/>
      <c r="W141" s="21"/>
      <c r="X141" s="66"/>
      <c r="Y141" s="21"/>
      <c r="Z141" s="21"/>
      <c r="AA141" s="21"/>
      <c r="AB141" s="21"/>
      <c r="AC141" s="21"/>
      <c r="AD141" s="21"/>
      <c r="AE141" s="21"/>
      <c r="AF141" s="21"/>
      <c r="AI141" s="65"/>
      <c r="AJ141" s="20"/>
      <c r="AL141" s="20"/>
      <c r="AM141" s="20"/>
      <c r="AP141" s="20"/>
      <c r="AU141" s="28"/>
      <c r="AV141" s="21"/>
      <c r="AW141" s="21"/>
      <c r="AX141" s="21"/>
      <c r="AY141" s="21"/>
      <c r="AZ141" s="21"/>
      <c r="BA141" s="21"/>
    </row>
    <row r="142" spans="1:53" ht="12.75" x14ac:dyDescent="0.2">
      <c r="AI142" s="65"/>
      <c r="AJ142" s="20"/>
      <c r="AL142" s="20"/>
      <c r="AM142" s="20"/>
      <c r="AP142" s="20"/>
    </row>
    <row r="143" spans="1:53" ht="12.75" x14ac:dyDescent="0.2">
      <c r="AI143" s="65"/>
      <c r="AJ143" s="20"/>
      <c r="AL143" s="20"/>
      <c r="AM143" s="20"/>
      <c r="AP143" s="20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40:AL40"/>
    <mergeCell ref="AM40:AO40"/>
    <mergeCell ref="AP40:AR40"/>
    <mergeCell ref="A41:AL41"/>
    <mergeCell ref="AM41:AO41"/>
    <mergeCell ref="AP41:AR41"/>
    <mergeCell ref="A42:AL42"/>
    <mergeCell ref="AM42:AR42"/>
    <mergeCell ref="A133:AL133"/>
    <mergeCell ref="AM133:AO133"/>
    <mergeCell ref="AP133:AR1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52"/>
  <sheetViews>
    <sheetView topLeftCell="AD1" workbookViewId="0">
      <selection activeCell="U14" sqref="U14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6" style="65" customWidth="1"/>
    <col min="23" max="23" width="13.42578125" style="20" customWidth="1"/>
    <col min="24" max="24" width="13.28515625" style="65" customWidth="1"/>
    <col min="25" max="25" width="17.42578125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6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14" t="s">
        <v>256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V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64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02" customFormat="1" ht="12.75" customHeight="1" x14ac:dyDescent="0.2">
      <c r="A9" s="72" t="s">
        <v>147</v>
      </c>
      <c r="B9" s="72" t="s">
        <v>119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73">
        <v>115500</v>
      </c>
      <c r="U9" s="84"/>
      <c r="V9" s="116" t="s">
        <v>167</v>
      </c>
      <c r="W9" s="109"/>
      <c r="X9" s="111">
        <v>53.9</v>
      </c>
      <c r="Y9" s="109"/>
      <c r="Z9" s="109"/>
      <c r="AA9" s="109"/>
      <c r="AB9" s="109"/>
      <c r="AC9" s="109"/>
      <c r="AD9" s="109"/>
      <c r="AE9" s="109"/>
      <c r="AF9" s="109"/>
      <c r="AG9" s="75">
        <v>44628</v>
      </c>
      <c r="AH9" s="75">
        <v>44628</v>
      </c>
      <c r="AI9" s="77">
        <v>44670</v>
      </c>
      <c r="AJ9" s="79">
        <v>44678</v>
      </c>
      <c r="AK9" s="79">
        <v>44678</v>
      </c>
      <c r="AL9" s="112" t="s">
        <v>31</v>
      </c>
      <c r="AM9" s="73">
        <v>115500</v>
      </c>
      <c r="AN9" s="109"/>
      <c r="AO9" s="172"/>
      <c r="AP9" s="73">
        <v>115300</v>
      </c>
      <c r="AQ9" s="109"/>
      <c r="AR9" s="172"/>
      <c r="AS9" s="109"/>
      <c r="AT9" s="109"/>
      <c r="AU9" s="109"/>
      <c r="AV9" s="109"/>
      <c r="AW9" s="109"/>
      <c r="AX9" s="109"/>
      <c r="AY9" s="109"/>
      <c r="AZ9" s="110"/>
    </row>
    <row r="10" spans="1:52" s="102" customFormat="1" ht="12.75" customHeight="1" x14ac:dyDescent="0.2">
      <c r="A10" s="72" t="s">
        <v>139</v>
      </c>
      <c r="B10" s="72" t="s">
        <v>114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73">
        <v>20000</v>
      </c>
      <c r="U10" s="84"/>
      <c r="V10" s="116" t="s">
        <v>167</v>
      </c>
      <c r="W10" s="109"/>
      <c r="X10" s="111">
        <v>53.9</v>
      </c>
      <c r="Y10" s="109"/>
      <c r="Z10" s="109"/>
      <c r="AA10" s="109"/>
      <c r="AB10" s="109"/>
      <c r="AC10" s="109"/>
      <c r="AD10" s="109"/>
      <c r="AE10" s="109"/>
      <c r="AF10" s="109"/>
      <c r="AG10" s="75">
        <v>44622</v>
      </c>
      <c r="AH10" s="75">
        <v>44622</v>
      </c>
      <c r="AI10" s="77">
        <v>44708</v>
      </c>
      <c r="AJ10" s="79">
        <v>44714</v>
      </c>
      <c r="AK10" s="79">
        <v>44714</v>
      </c>
      <c r="AL10" s="112" t="s">
        <v>31</v>
      </c>
      <c r="AM10" s="73">
        <v>20000</v>
      </c>
      <c r="AN10" s="109"/>
      <c r="AO10" s="172"/>
      <c r="AP10" s="73">
        <v>19933.5</v>
      </c>
      <c r="AQ10" s="109"/>
      <c r="AR10" s="172"/>
      <c r="AS10" s="109"/>
      <c r="AT10" s="109"/>
      <c r="AU10" s="109"/>
      <c r="AV10" s="109"/>
      <c r="AW10" s="109"/>
      <c r="AX10" s="109"/>
      <c r="AY10" s="109"/>
      <c r="AZ10" s="110"/>
    </row>
    <row r="11" spans="1:52" s="102" customFormat="1" ht="12.75" customHeight="1" x14ac:dyDescent="0.2">
      <c r="A11" s="72" t="s">
        <v>143</v>
      </c>
      <c r="B11" s="72" t="s">
        <v>128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73">
        <v>5000</v>
      </c>
      <c r="U11" s="84"/>
      <c r="V11" s="116" t="s">
        <v>167</v>
      </c>
      <c r="W11" s="109"/>
      <c r="X11" s="111">
        <v>53.9</v>
      </c>
      <c r="Y11" s="109"/>
      <c r="Z11" s="109"/>
      <c r="AA11" s="109"/>
      <c r="AB11" s="109"/>
      <c r="AC11" s="109"/>
      <c r="AD11" s="109"/>
      <c r="AE11" s="109"/>
      <c r="AF11" s="109"/>
      <c r="AG11" s="75">
        <v>44623</v>
      </c>
      <c r="AH11" s="75">
        <v>44623</v>
      </c>
      <c r="AI11" s="77">
        <v>44669</v>
      </c>
      <c r="AJ11" s="79">
        <v>44676</v>
      </c>
      <c r="AK11" s="79">
        <v>44676</v>
      </c>
      <c r="AL11" s="112" t="s">
        <v>31</v>
      </c>
      <c r="AM11" s="73">
        <v>5000</v>
      </c>
      <c r="AN11" s="109"/>
      <c r="AO11" s="172"/>
      <c r="AP11" s="73">
        <v>4979</v>
      </c>
      <c r="AQ11" s="109"/>
      <c r="AR11" s="172"/>
      <c r="AS11" s="109"/>
      <c r="AT11" s="109"/>
      <c r="AU11" s="109"/>
      <c r="AV11" s="109"/>
      <c r="AW11" s="109"/>
      <c r="AX11" s="109"/>
      <c r="AY11" s="109"/>
      <c r="AZ11" s="110"/>
    </row>
    <row r="12" spans="1:52" s="102" customFormat="1" ht="12.75" customHeight="1" x14ac:dyDescent="0.2">
      <c r="A12" s="72" t="s">
        <v>137</v>
      </c>
      <c r="B12" s="72" t="s">
        <v>112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73">
        <v>33000</v>
      </c>
      <c r="U12" s="84"/>
      <c r="V12" s="116" t="s">
        <v>167</v>
      </c>
      <c r="W12" s="109"/>
      <c r="X12" s="111">
        <v>53.9</v>
      </c>
      <c r="Y12" s="109"/>
      <c r="Z12" s="109"/>
      <c r="AA12" s="109"/>
      <c r="AB12" s="109"/>
      <c r="AC12" s="109"/>
      <c r="AD12" s="109"/>
      <c r="AE12" s="109"/>
      <c r="AF12" s="109"/>
      <c r="AG12" s="75">
        <v>44623</v>
      </c>
      <c r="AH12" s="75">
        <v>44623</v>
      </c>
      <c r="AI12" s="75">
        <v>44664</v>
      </c>
      <c r="AJ12" s="79">
        <v>44671</v>
      </c>
      <c r="AK12" s="79">
        <v>44671</v>
      </c>
      <c r="AL12" s="112" t="s">
        <v>31</v>
      </c>
      <c r="AM12" s="73">
        <v>33000</v>
      </c>
      <c r="AN12" s="109"/>
      <c r="AO12" s="172"/>
      <c r="AP12" s="73">
        <v>32740.5</v>
      </c>
      <c r="AQ12" s="109"/>
      <c r="AR12" s="172"/>
      <c r="AS12" s="109"/>
      <c r="AT12" s="109"/>
      <c r="AU12" s="109"/>
      <c r="AV12" s="109"/>
      <c r="AW12" s="109"/>
      <c r="AX12" s="109"/>
      <c r="AY12" s="109"/>
      <c r="AZ12" s="110"/>
    </row>
    <row r="13" spans="1:52" s="102" customFormat="1" ht="12.75" customHeight="1" x14ac:dyDescent="0.2">
      <c r="A13" s="72" t="s">
        <v>143</v>
      </c>
      <c r="B13" s="72" t="s">
        <v>128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73">
        <v>69745</v>
      </c>
      <c r="U13" s="84"/>
      <c r="V13" s="116" t="s">
        <v>167</v>
      </c>
      <c r="W13" s="109"/>
      <c r="X13" s="111">
        <v>53.9</v>
      </c>
      <c r="Y13" s="109"/>
      <c r="Z13" s="109"/>
      <c r="AA13" s="109"/>
      <c r="AB13" s="109"/>
      <c r="AC13" s="109"/>
      <c r="AD13" s="109"/>
      <c r="AE13" s="109"/>
      <c r="AF13" s="109"/>
      <c r="AG13" s="75">
        <v>44627</v>
      </c>
      <c r="AH13" s="75">
        <v>44627</v>
      </c>
      <c r="AI13" s="77">
        <v>44664</v>
      </c>
      <c r="AJ13" s="79">
        <v>44671</v>
      </c>
      <c r="AK13" s="79">
        <v>44671</v>
      </c>
      <c r="AL13" s="112" t="s">
        <v>31</v>
      </c>
      <c r="AM13" s="73">
        <v>69745</v>
      </c>
      <c r="AN13" s="109"/>
      <c r="AO13" s="172"/>
      <c r="AP13" s="73">
        <v>69458</v>
      </c>
      <c r="AQ13" s="109"/>
      <c r="AR13" s="172"/>
      <c r="AS13" s="109"/>
      <c r="AT13" s="109"/>
      <c r="AU13" s="109"/>
      <c r="AV13" s="109"/>
      <c r="AW13" s="109"/>
      <c r="AX13" s="109"/>
      <c r="AY13" s="109"/>
      <c r="AZ13" s="110"/>
    </row>
    <row r="14" spans="1:52" s="102" customFormat="1" ht="12.75" customHeight="1" x14ac:dyDescent="0.2">
      <c r="A14" s="72" t="s">
        <v>145</v>
      </c>
      <c r="B14" s="72" t="s">
        <v>118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73">
        <v>19000</v>
      </c>
      <c r="U14" s="84"/>
      <c r="V14" s="116" t="s">
        <v>167</v>
      </c>
      <c r="W14" s="109"/>
      <c r="X14" s="111">
        <v>53.9</v>
      </c>
      <c r="Y14" s="109"/>
      <c r="Z14" s="109"/>
      <c r="AA14" s="109"/>
      <c r="AB14" s="109"/>
      <c r="AC14" s="109"/>
      <c r="AD14" s="109"/>
      <c r="AE14" s="109"/>
      <c r="AF14" s="109"/>
      <c r="AG14" s="75">
        <v>44623</v>
      </c>
      <c r="AH14" s="75">
        <v>44623</v>
      </c>
      <c r="AI14" s="77">
        <v>44732</v>
      </c>
      <c r="AJ14" s="79">
        <v>44739</v>
      </c>
      <c r="AK14" s="79">
        <v>44739</v>
      </c>
      <c r="AL14" s="112" t="s">
        <v>31</v>
      </c>
      <c r="AM14" s="73">
        <v>19000</v>
      </c>
      <c r="AN14" s="109"/>
      <c r="AO14" s="172"/>
      <c r="AP14" s="73">
        <v>18952</v>
      </c>
      <c r="AQ14" s="109"/>
      <c r="AR14" s="172"/>
      <c r="AS14" s="109"/>
      <c r="AT14" s="109"/>
      <c r="AU14" s="109"/>
      <c r="AV14" s="109"/>
      <c r="AW14" s="109"/>
      <c r="AX14" s="109"/>
      <c r="AY14" s="109"/>
      <c r="AZ14" s="110"/>
    </row>
    <row r="15" spans="1:52" s="102" customFormat="1" ht="12.75" customHeight="1" x14ac:dyDescent="0.2">
      <c r="A15" s="72" t="s">
        <v>146</v>
      </c>
      <c r="B15" s="106" t="s">
        <v>121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73">
        <v>25000</v>
      </c>
      <c r="U15" s="84"/>
      <c r="V15" s="116" t="s">
        <v>167</v>
      </c>
      <c r="W15" s="109"/>
      <c r="X15" s="111">
        <v>53.9</v>
      </c>
      <c r="Y15" s="109"/>
      <c r="Z15" s="109"/>
      <c r="AA15" s="109"/>
      <c r="AB15" s="109"/>
      <c r="AC15" s="109"/>
      <c r="AD15" s="109"/>
      <c r="AE15" s="109"/>
      <c r="AF15" s="109"/>
      <c r="AG15" s="75">
        <v>44623</v>
      </c>
      <c r="AH15" s="75">
        <v>44623</v>
      </c>
      <c r="AI15" s="77">
        <v>44732</v>
      </c>
      <c r="AJ15" s="79">
        <v>44739</v>
      </c>
      <c r="AK15" s="79">
        <v>44739</v>
      </c>
      <c r="AL15" s="112" t="s">
        <v>31</v>
      </c>
      <c r="AM15" s="73">
        <v>25000</v>
      </c>
      <c r="AN15" s="109"/>
      <c r="AO15" s="172"/>
      <c r="AP15" s="73">
        <v>24843</v>
      </c>
      <c r="AQ15" s="109"/>
      <c r="AR15" s="172"/>
      <c r="AS15" s="109"/>
      <c r="AT15" s="109"/>
      <c r="AU15" s="109"/>
      <c r="AV15" s="109"/>
      <c r="AW15" s="109"/>
      <c r="AX15" s="109"/>
      <c r="AY15" s="109"/>
      <c r="AZ15" s="110"/>
    </row>
    <row r="16" spans="1:52" s="102" customFormat="1" ht="12.75" customHeight="1" x14ac:dyDescent="0.2">
      <c r="A16" s="72" t="s">
        <v>145</v>
      </c>
      <c r="B16" s="72" t="s">
        <v>118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73">
        <v>335000</v>
      </c>
      <c r="U16" s="84"/>
      <c r="V16" s="116" t="s">
        <v>167</v>
      </c>
      <c r="W16" s="109"/>
      <c r="X16" s="111">
        <v>53.9</v>
      </c>
      <c r="Y16" s="109"/>
      <c r="Z16" s="109"/>
      <c r="AA16" s="109"/>
      <c r="AB16" s="109"/>
      <c r="AC16" s="109"/>
      <c r="AD16" s="109"/>
      <c r="AE16" s="109"/>
      <c r="AF16" s="109"/>
      <c r="AG16" s="142">
        <v>44610</v>
      </c>
      <c r="AH16" s="142">
        <v>44610</v>
      </c>
      <c r="AI16" s="77">
        <v>44672</v>
      </c>
      <c r="AJ16" s="79">
        <v>44680</v>
      </c>
      <c r="AK16" s="79">
        <v>44680</v>
      </c>
      <c r="AL16" s="112" t="s">
        <v>31</v>
      </c>
      <c r="AM16" s="73">
        <f>280000+55000</f>
        <v>335000</v>
      </c>
      <c r="AN16" s="109"/>
      <c r="AO16" s="172"/>
      <c r="AP16" s="73">
        <v>333600</v>
      </c>
      <c r="AQ16" s="109"/>
      <c r="AR16" s="172"/>
      <c r="AS16" s="109"/>
      <c r="AT16" s="109"/>
      <c r="AU16" s="109"/>
      <c r="AV16" s="109"/>
      <c r="AW16" s="109"/>
      <c r="AX16" s="109"/>
      <c r="AY16" s="109"/>
      <c r="AZ16" s="110"/>
    </row>
    <row r="17" spans="1:52" s="102" customFormat="1" ht="12.75" customHeight="1" x14ac:dyDescent="0.2">
      <c r="A17" s="72" t="s">
        <v>139</v>
      </c>
      <c r="B17" s="72" t="s">
        <v>114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73">
        <v>20000</v>
      </c>
      <c r="U17" s="84"/>
      <c r="V17" s="116" t="s">
        <v>167</v>
      </c>
      <c r="W17" s="109"/>
      <c r="X17" s="111">
        <v>53.9</v>
      </c>
      <c r="Y17" s="109"/>
      <c r="Z17" s="109"/>
      <c r="AA17" s="109"/>
      <c r="AB17" s="109"/>
      <c r="AC17" s="109"/>
      <c r="AD17" s="109"/>
      <c r="AE17" s="109"/>
      <c r="AF17" s="109"/>
      <c r="AG17" s="75">
        <v>44700</v>
      </c>
      <c r="AH17" s="75">
        <v>44700</v>
      </c>
      <c r="AI17" s="77">
        <v>44776</v>
      </c>
      <c r="AJ17" s="79">
        <v>44783</v>
      </c>
      <c r="AK17" s="79">
        <v>44783</v>
      </c>
      <c r="AL17" s="112" t="s">
        <v>31</v>
      </c>
      <c r="AM17" s="73">
        <v>20000</v>
      </c>
      <c r="AN17" s="109"/>
      <c r="AO17" s="172"/>
      <c r="AP17" s="73">
        <v>19885</v>
      </c>
      <c r="AQ17" s="109"/>
      <c r="AR17" s="172"/>
      <c r="AS17" s="109"/>
      <c r="AT17" s="109"/>
      <c r="AU17" s="109"/>
      <c r="AV17" s="109"/>
      <c r="AW17" s="109"/>
      <c r="AX17" s="109"/>
      <c r="AY17" s="109"/>
      <c r="AZ17" s="110"/>
    </row>
    <row r="18" spans="1:52" s="102" customFormat="1" ht="12.75" customHeight="1" x14ac:dyDescent="0.2">
      <c r="A18" s="72" t="s">
        <v>145</v>
      </c>
      <c r="B18" s="72" t="s">
        <v>118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73">
        <v>19000</v>
      </c>
      <c r="U18" s="84"/>
      <c r="V18" s="116" t="s">
        <v>167</v>
      </c>
      <c r="W18" s="109"/>
      <c r="X18" s="111">
        <v>53.9</v>
      </c>
      <c r="Y18" s="109"/>
      <c r="Z18" s="109"/>
      <c r="AA18" s="109"/>
      <c r="AB18" s="109"/>
      <c r="AC18" s="109"/>
      <c r="AD18" s="109"/>
      <c r="AE18" s="109"/>
      <c r="AF18" s="109"/>
      <c r="AG18" s="76">
        <v>44700</v>
      </c>
      <c r="AH18" s="76">
        <v>44700</v>
      </c>
      <c r="AI18" s="77">
        <v>44761</v>
      </c>
      <c r="AJ18" s="79">
        <v>44768</v>
      </c>
      <c r="AK18" s="79">
        <v>44768</v>
      </c>
      <c r="AL18" s="112" t="s">
        <v>31</v>
      </c>
      <c r="AM18" s="73">
        <v>19000</v>
      </c>
      <c r="AN18" s="109"/>
      <c r="AO18" s="172"/>
      <c r="AP18" s="73">
        <v>18986</v>
      </c>
      <c r="AQ18" s="109"/>
      <c r="AR18" s="172"/>
      <c r="AS18" s="109"/>
      <c r="AT18" s="109"/>
      <c r="AU18" s="109"/>
      <c r="AV18" s="109"/>
      <c r="AW18" s="109"/>
      <c r="AX18" s="109"/>
      <c r="AY18" s="109"/>
      <c r="AZ18" s="110"/>
    </row>
    <row r="19" spans="1:52" s="102" customFormat="1" ht="12.75" customHeight="1" x14ac:dyDescent="0.2">
      <c r="A19" s="72" t="s">
        <v>143</v>
      </c>
      <c r="B19" s="72" t="s">
        <v>128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73">
        <v>38000</v>
      </c>
      <c r="U19" s="84"/>
      <c r="V19" s="116" t="s">
        <v>167</v>
      </c>
      <c r="W19" s="109"/>
      <c r="X19" s="111">
        <v>53.9</v>
      </c>
      <c r="Y19" s="109"/>
      <c r="Z19" s="109"/>
      <c r="AA19" s="109"/>
      <c r="AB19" s="109"/>
      <c r="AC19" s="109"/>
      <c r="AD19" s="109"/>
      <c r="AE19" s="109"/>
      <c r="AF19" s="109"/>
      <c r="AG19" s="75">
        <v>44700</v>
      </c>
      <c r="AH19" s="75">
        <v>44700</v>
      </c>
      <c r="AI19" s="77">
        <v>44760</v>
      </c>
      <c r="AJ19" s="79">
        <v>44767</v>
      </c>
      <c r="AK19" s="79">
        <v>44767</v>
      </c>
      <c r="AL19" s="112" t="s">
        <v>31</v>
      </c>
      <c r="AM19" s="73">
        <f>5000+33000</f>
        <v>38000</v>
      </c>
      <c r="AN19" s="109"/>
      <c r="AO19" s="172"/>
      <c r="AP19" s="73">
        <v>37744</v>
      </c>
      <c r="AQ19" s="109"/>
      <c r="AR19" s="172"/>
      <c r="AS19" s="109"/>
      <c r="AT19" s="109"/>
      <c r="AU19" s="109"/>
      <c r="AV19" s="109"/>
      <c r="AW19" s="109"/>
      <c r="AX19" s="109"/>
      <c r="AY19" s="109"/>
      <c r="AZ19" s="110"/>
    </row>
    <row r="20" spans="1:52" s="102" customFormat="1" ht="12.75" customHeight="1" x14ac:dyDescent="0.2">
      <c r="A20" s="72" t="s">
        <v>143</v>
      </c>
      <c r="B20" s="72" t="s">
        <v>117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73">
        <v>166870</v>
      </c>
      <c r="U20" s="84"/>
      <c r="V20" s="116" t="s">
        <v>167</v>
      </c>
      <c r="W20" s="109"/>
      <c r="X20" s="111">
        <v>53.9</v>
      </c>
      <c r="Y20" s="109"/>
      <c r="Z20" s="109"/>
      <c r="AA20" s="109"/>
      <c r="AB20" s="109"/>
      <c r="AC20" s="109"/>
      <c r="AD20" s="109"/>
      <c r="AE20" s="109"/>
      <c r="AF20" s="109"/>
      <c r="AG20" s="75">
        <v>44775</v>
      </c>
      <c r="AH20" s="75">
        <v>44775</v>
      </c>
      <c r="AI20" s="77">
        <v>44905</v>
      </c>
      <c r="AJ20" s="77">
        <v>44908</v>
      </c>
      <c r="AK20" s="77">
        <v>44908</v>
      </c>
      <c r="AL20" s="112" t="s">
        <v>31</v>
      </c>
      <c r="AM20" s="73">
        <f>91125+75745</f>
        <v>166870</v>
      </c>
      <c r="AN20" s="109"/>
      <c r="AO20" s="172"/>
      <c r="AP20" s="73">
        <v>166462</v>
      </c>
      <c r="AQ20" s="109"/>
      <c r="AR20" s="172"/>
      <c r="AS20" s="109"/>
      <c r="AT20" s="109"/>
      <c r="AU20" s="109"/>
      <c r="AV20" s="109"/>
      <c r="AW20" s="109"/>
      <c r="AX20" s="109"/>
      <c r="AY20" s="109"/>
      <c r="AZ20" s="110"/>
    </row>
    <row r="21" spans="1:52" ht="12.75" x14ac:dyDescent="0.2">
      <c r="A21" s="270" t="s">
        <v>41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2"/>
      <c r="AM21" s="269">
        <f>SUM(AM9:AM20)</f>
        <v>866115</v>
      </c>
      <c r="AN21" s="269"/>
      <c r="AO21" s="269"/>
      <c r="AP21" s="250"/>
      <c r="AQ21" s="250"/>
      <c r="AR21" s="251"/>
      <c r="AS21" s="103"/>
      <c r="AT21" s="103"/>
      <c r="AU21" s="103"/>
      <c r="AV21" s="103"/>
      <c r="AW21" s="103"/>
      <c r="AX21" s="103"/>
      <c r="AY21" s="103"/>
      <c r="AZ21" s="103"/>
    </row>
    <row r="22" spans="1:52" ht="12.75" x14ac:dyDescent="0.2">
      <c r="A22" s="270" t="s">
        <v>42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2"/>
      <c r="AM22" s="253"/>
      <c r="AN22" s="253"/>
      <c r="AO22" s="253"/>
      <c r="AP22" s="254">
        <f>SUM(AP9:AP21)</f>
        <v>862883</v>
      </c>
      <c r="AQ22" s="255"/>
      <c r="AR22" s="255"/>
      <c r="AS22" s="103"/>
      <c r="AT22" s="103"/>
      <c r="AU22" s="103"/>
      <c r="AV22" s="103"/>
      <c r="AW22" s="103"/>
      <c r="AX22" s="103"/>
      <c r="AY22" s="103"/>
      <c r="AZ22" s="103"/>
    </row>
    <row r="23" spans="1:52" ht="12.75" x14ac:dyDescent="0.2">
      <c r="A23" s="242" t="s">
        <v>43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>
        <f>AM21-AP22</f>
        <v>3232</v>
      </c>
      <c r="AN23" s="244"/>
      <c r="AO23" s="244"/>
      <c r="AP23" s="244"/>
      <c r="AQ23" s="244"/>
      <c r="AR23" s="244"/>
      <c r="AS23" s="103"/>
      <c r="AT23" s="103"/>
      <c r="AU23" s="103"/>
      <c r="AV23" s="103"/>
      <c r="AW23" s="103"/>
      <c r="AX23" s="103"/>
      <c r="AY23" s="103"/>
      <c r="AZ23" s="103"/>
    </row>
    <row r="24" spans="1:52" ht="15" thickBot="1" x14ac:dyDescent="0.25"/>
    <row r="25" spans="1:52" s="19" customFormat="1" ht="26.25" customHeight="1" thickBot="1" x14ac:dyDescent="0.25">
      <c r="A25" s="68" t="s">
        <v>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64"/>
      <c r="W25" s="31"/>
      <c r="X25" s="64"/>
      <c r="Y25" s="31"/>
      <c r="Z25" s="31"/>
      <c r="AA25" s="31"/>
      <c r="AB25" s="31"/>
      <c r="AC25" s="31"/>
      <c r="AD25" s="31"/>
      <c r="AE25" s="31"/>
      <c r="AF25" s="31"/>
      <c r="AG25" s="31"/>
      <c r="AH25" s="62"/>
      <c r="AI25" s="31"/>
      <c r="AJ25" s="50"/>
      <c r="AK25" s="31"/>
      <c r="AL25" s="55"/>
      <c r="AM25" s="37"/>
      <c r="AN25" s="31"/>
      <c r="AO25" s="31"/>
      <c r="AP25" s="37"/>
      <c r="AQ25" s="31"/>
      <c r="AR25" s="31"/>
      <c r="AS25" s="31"/>
      <c r="AT25" s="31"/>
      <c r="AU25" s="31"/>
      <c r="AV25" s="31"/>
      <c r="AW25" s="31"/>
      <c r="AX25" s="31"/>
      <c r="AY25" s="31"/>
      <c r="AZ25" s="32"/>
    </row>
    <row r="26" spans="1:52" s="19" customFormat="1" x14ac:dyDescent="0.2">
      <c r="A26" s="72" t="s">
        <v>148</v>
      </c>
      <c r="B26" s="72" t="s">
        <v>133</v>
      </c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  <c r="T26" s="73">
        <v>25000</v>
      </c>
      <c r="U26" s="5"/>
      <c r="V26" s="116" t="s">
        <v>167</v>
      </c>
      <c r="W26" s="3"/>
      <c r="X26" s="3">
        <v>53.9</v>
      </c>
      <c r="Y26" s="46"/>
      <c r="Z26" s="6"/>
      <c r="AA26" s="4"/>
      <c r="AB26" s="4"/>
      <c r="AC26" s="6"/>
      <c r="AD26" s="6"/>
      <c r="AE26" s="6"/>
      <c r="AF26" s="6"/>
      <c r="AG26" s="75">
        <v>44680</v>
      </c>
      <c r="AH26" s="75">
        <v>44680</v>
      </c>
      <c r="AI26" s="78"/>
      <c r="AJ26" s="80"/>
      <c r="AK26" s="80"/>
      <c r="AL26" s="56" t="s">
        <v>31</v>
      </c>
      <c r="AM26" s="73">
        <v>25000</v>
      </c>
      <c r="AN26" s="7"/>
      <c r="AO26" s="7"/>
      <c r="AP26" s="73">
        <v>24800</v>
      </c>
      <c r="AQ26" s="7"/>
      <c r="AR26" s="7"/>
      <c r="AS26" s="4"/>
      <c r="AT26" s="4"/>
      <c r="AU26" s="4"/>
      <c r="AV26" s="4"/>
      <c r="AW26" s="4"/>
      <c r="AX26" s="4"/>
      <c r="AY26" s="4"/>
      <c r="AZ26" s="8"/>
    </row>
    <row r="27" spans="1:52" s="19" customFormat="1" x14ac:dyDescent="0.2">
      <c r="A27" s="72" t="s">
        <v>147</v>
      </c>
      <c r="B27" s="72" t="s">
        <v>119</v>
      </c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0"/>
      <c r="R27" s="40"/>
      <c r="S27" s="40"/>
      <c r="T27" s="73">
        <f>110000+15000+55000</f>
        <v>180000</v>
      </c>
      <c r="U27" s="41"/>
      <c r="V27" s="173" t="s">
        <v>167</v>
      </c>
      <c r="W27" s="42"/>
      <c r="X27" s="42">
        <v>53.9</v>
      </c>
      <c r="Y27" s="46"/>
      <c r="Z27" s="43"/>
      <c r="AA27" s="40"/>
      <c r="AB27" s="40"/>
      <c r="AC27" s="43"/>
      <c r="AD27" s="43"/>
      <c r="AE27" s="43"/>
      <c r="AF27" s="43"/>
      <c r="AG27" s="76">
        <v>44704</v>
      </c>
      <c r="AH27" s="76">
        <v>44704</v>
      </c>
      <c r="AI27" s="78"/>
      <c r="AJ27" s="80"/>
      <c r="AK27" s="80"/>
      <c r="AL27" s="58" t="s">
        <v>31</v>
      </c>
      <c r="AM27" s="73">
        <f>110000+15000+55000</f>
        <v>180000</v>
      </c>
      <c r="AN27" s="44"/>
      <c r="AO27" s="44"/>
      <c r="AP27" s="73">
        <f>109887+14962+54901</f>
        <v>179750</v>
      </c>
      <c r="AQ27" s="44"/>
      <c r="AR27" s="44"/>
      <c r="AS27" s="40"/>
      <c r="AT27" s="40"/>
      <c r="AU27" s="40"/>
      <c r="AV27" s="40"/>
      <c r="AW27" s="40"/>
      <c r="AX27" s="40"/>
      <c r="AY27" s="40"/>
      <c r="AZ27" s="45"/>
    </row>
    <row r="28" spans="1:52" s="19" customFormat="1" x14ac:dyDescent="0.2">
      <c r="A28" s="72" t="s">
        <v>137</v>
      </c>
      <c r="B28" s="72" t="s">
        <v>202</v>
      </c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0"/>
      <c r="R28" s="40"/>
      <c r="S28" s="40"/>
      <c r="T28" s="73">
        <v>8000</v>
      </c>
      <c r="U28" s="41"/>
      <c r="V28" s="173" t="s">
        <v>167</v>
      </c>
      <c r="W28" s="42"/>
      <c r="X28" s="42">
        <v>53.9</v>
      </c>
      <c r="Y28" s="46"/>
      <c r="Z28" s="43"/>
      <c r="AA28" s="40"/>
      <c r="AB28" s="40"/>
      <c r="AC28" s="43"/>
      <c r="AD28" s="43"/>
      <c r="AE28" s="43"/>
      <c r="AF28" s="43"/>
      <c r="AG28" s="75">
        <v>44747</v>
      </c>
      <c r="AH28" s="75">
        <v>44747</v>
      </c>
      <c r="AI28" s="77">
        <v>44823</v>
      </c>
      <c r="AJ28" s="77">
        <v>44827</v>
      </c>
      <c r="AK28" s="77">
        <v>44827</v>
      </c>
      <c r="AL28" s="58" t="s">
        <v>31</v>
      </c>
      <c r="AM28" s="73">
        <v>8000</v>
      </c>
      <c r="AN28" s="44"/>
      <c r="AO28" s="44"/>
      <c r="AP28" s="73">
        <v>7870</v>
      </c>
      <c r="AQ28" s="44"/>
      <c r="AR28" s="44"/>
      <c r="AS28" s="40"/>
      <c r="AT28" s="40"/>
      <c r="AU28" s="40"/>
      <c r="AV28" s="40"/>
      <c r="AW28" s="40"/>
      <c r="AX28" s="40"/>
      <c r="AY28" s="40"/>
      <c r="AZ28" s="45"/>
    </row>
    <row r="29" spans="1:52" s="19" customFormat="1" x14ac:dyDescent="0.2">
      <c r="A29" s="72" t="s">
        <v>139</v>
      </c>
      <c r="B29" s="72" t="s">
        <v>114</v>
      </c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0"/>
      <c r="R29" s="40"/>
      <c r="S29" s="40"/>
      <c r="T29" s="73">
        <v>20000</v>
      </c>
      <c r="U29" s="41"/>
      <c r="V29" s="173" t="s">
        <v>167</v>
      </c>
      <c r="W29" s="42"/>
      <c r="X29" s="42">
        <v>53.9</v>
      </c>
      <c r="Y29" s="46"/>
      <c r="Z29" s="43"/>
      <c r="AA29" s="40"/>
      <c r="AB29" s="40"/>
      <c r="AC29" s="43"/>
      <c r="AD29" s="43"/>
      <c r="AE29" s="43"/>
      <c r="AF29" s="43"/>
      <c r="AG29" s="75">
        <v>44775</v>
      </c>
      <c r="AH29" s="75">
        <v>44775</v>
      </c>
      <c r="AI29" s="78"/>
      <c r="AJ29" s="78"/>
      <c r="AK29" s="78"/>
      <c r="AL29" s="58" t="s">
        <v>31</v>
      </c>
      <c r="AM29" s="73">
        <v>20000</v>
      </c>
      <c r="AN29" s="44"/>
      <c r="AO29" s="44"/>
      <c r="AP29" s="73">
        <v>19885</v>
      </c>
      <c r="AQ29" s="44"/>
      <c r="AR29" s="44"/>
      <c r="AS29" s="40"/>
      <c r="AT29" s="40"/>
      <c r="AU29" s="40"/>
      <c r="AV29" s="40"/>
      <c r="AW29" s="40"/>
      <c r="AX29" s="40"/>
      <c r="AY29" s="40"/>
      <c r="AZ29" s="45"/>
    </row>
    <row r="30" spans="1:52" s="19" customFormat="1" x14ac:dyDescent="0.2">
      <c r="A30" s="72" t="s">
        <v>145</v>
      </c>
      <c r="B30" s="72" t="s">
        <v>118</v>
      </c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0"/>
      <c r="R30" s="40"/>
      <c r="S30" s="40"/>
      <c r="T30" s="73">
        <v>19000</v>
      </c>
      <c r="U30" s="41"/>
      <c r="V30" s="173" t="s">
        <v>167</v>
      </c>
      <c r="W30" s="42"/>
      <c r="X30" s="42">
        <v>53.9</v>
      </c>
      <c r="Y30" s="46"/>
      <c r="Z30" s="43"/>
      <c r="AA30" s="40"/>
      <c r="AB30" s="40"/>
      <c r="AC30" s="43"/>
      <c r="AD30" s="43"/>
      <c r="AE30" s="43"/>
      <c r="AF30" s="43"/>
      <c r="AG30" s="75">
        <v>44770</v>
      </c>
      <c r="AH30" s="75">
        <v>44770</v>
      </c>
      <c r="AI30" s="78"/>
      <c r="AJ30" s="78"/>
      <c r="AK30" s="78"/>
      <c r="AL30" s="58" t="s">
        <v>31</v>
      </c>
      <c r="AM30" s="73">
        <v>19000</v>
      </c>
      <c r="AN30" s="44"/>
      <c r="AO30" s="44"/>
      <c r="AP30" s="73">
        <v>18809</v>
      </c>
      <c r="AQ30" s="44"/>
      <c r="AR30" s="44"/>
      <c r="AS30" s="40"/>
      <c r="AT30" s="40"/>
      <c r="AU30" s="40"/>
      <c r="AV30" s="40"/>
      <c r="AW30" s="40"/>
      <c r="AX30" s="40"/>
      <c r="AY30" s="40"/>
      <c r="AZ30" s="45"/>
    </row>
    <row r="31" spans="1:52" s="19" customFormat="1" x14ac:dyDescent="0.2">
      <c r="A31" s="72" t="s">
        <v>147</v>
      </c>
      <c r="B31" s="72" t="s">
        <v>119</v>
      </c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40"/>
      <c r="S31" s="40"/>
      <c r="T31" s="73">
        <v>110000</v>
      </c>
      <c r="U31" s="41"/>
      <c r="V31" s="173" t="s">
        <v>167</v>
      </c>
      <c r="W31" s="42"/>
      <c r="X31" s="42">
        <v>53.9</v>
      </c>
      <c r="Y31" s="46"/>
      <c r="Z31" s="43"/>
      <c r="AA31" s="40"/>
      <c r="AB31" s="40"/>
      <c r="AC31" s="43"/>
      <c r="AD31" s="43"/>
      <c r="AE31" s="43"/>
      <c r="AF31" s="43"/>
      <c r="AG31" s="75">
        <v>44775</v>
      </c>
      <c r="AH31" s="75">
        <v>44775</v>
      </c>
      <c r="AI31" s="78"/>
      <c r="AJ31" s="78"/>
      <c r="AK31" s="78"/>
      <c r="AL31" s="58" t="s">
        <v>31</v>
      </c>
      <c r="AM31" s="73">
        <v>110000</v>
      </c>
      <c r="AN31" s="44"/>
      <c r="AO31" s="44"/>
      <c r="AP31" s="73">
        <v>109852</v>
      </c>
      <c r="AQ31" s="44"/>
      <c r="AR31" s="44"/>
      <c r="AS31" s="40"/>
      <c r="AT31" s="40"/>
      <c r="AU31" s="40"/>
      <c r="AV31" s="40"/>
      <c r="AW31" s="40"/>
      <c r="AX31" s="40"/>
      <c r="AY31" s="40"/>
      <c r="AZ31" s="45"/>
    </row>
    <row r="32" spans="1:52" s="19" customFormat="1" x14ac:dyDescent="0.2">
      <c r="A32" s="72" t="s">
        <v>137</v>
      </c>
      <c r="B32" s="72" t="s">
        <v>202</v>
      </c>
      <c r="C32" s="40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0"/>
      <c r="R32" s="40"/>
      <c r="S32" s="40"/>
      <c r="T32" s="73">
        <v>33000</v>
      </c>
      <c r="U32" s="41"/>
      <c r="V32" s="173" t="s">
        <v>167</v>
      </c>
      <c r="W32" s="42"/>
      <c r="X32" s="42">
        <v>53.9</v>
      </c>
      <c r="Y32" s="46"/>
      <c r="Z32" s="43"/>
      <c r="AA32" s="40"/>
      <c r="AB32" s="40"/>
      <c r="AC32" s="43"/>
      <c r="AD32" s="43"/>
      <c r="AE32" s="43"/>
      <c r="AF32" s="43"/>
      <c r="AG32" s="75">
        <v>44770</v>
      </c>
      <c r="AH32" s="75">
        <v>44770</v>
      </c>
      <c r="AI32" s="77">
        <v>44813</v>
      </c>
      <c r="AJ32" s="77">
        <v>44820</v>
      </c>
      <c r="AK32" s="77">
        <v>44820</v>
      </c>
      <c r="AL32" s="58" t="s">
        <v>31</v>
      </c>
      <c r="AM32" s="73">
        <v>33000</v>
      </c>
      <c r="AN32" s="44"/>
      <c r="AO32" s="44"/>
      <c r="AP32" s="73">
        <v>32820</v>
      </c>
      <c r="AQ32" s="44"/>
      <c r="AR32" s="44"/>
      <c r="AS32" s="40"/>
      <c r="AT32" s="40"/>
      <c r="AU32" s="40"/>
      <c r="AV32" s="40"/>
      <c r="AW32" s="40"/>
      <c r="AX32" s="40"/>
      <c r="AY32" s="40"/>
      <c r="AZ32" s="45"/>
    </row>
    <row r="33" spans="1:53" s="19" customFormat="1" x14ac:dyDescent="0.2">
      <c r="A33" s="72" t="s">
        <v>137</v>
      </c>
      <c r="B33" s="72" t="s">
        <v>112</v>
      </c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40"/>
      <c r="S33" s="40"/>
      <c r="T33" s="73">
        <v>33000</v>
      </c>
      <c r="U33" s="41"/>
      <c r="V33" s="173" t="s">
        <v>167</v>
      </c>
      <c r="W33" s="42"/>
      <c r="X33" s="42">
        <v>53.9</v>
      </c>
      <c r="Y33" s="46"/>
      <c r="Z33" s="43"/>
      <c r="AA33" s="40"/>
      <c r="AB33" s="40"/>
      <c r="AC33" s="43"/>
      <c r="AD33" s="43"/>
      <c r="AE33" s="43"/>
      <c r="AF33" s="43"/>
      <c r="AG33" s="75">
        <v>44851</v>
      </c>
      <c r="AH33" s="75">
        <v>44851</v>
      </c>
      <c r="AI33" s="78"/>
      <c r="AJ33" s="78"/>
      <c r="AK33" s="78"/>
      <c r="AL33" s="58" t="s">
        <v>31</v>
      </c>
      <c r="AM33" s="73">
        <v>33000</v>
      </c>
      <c r="AN33" s="44"/>
      <c r="AO33" s="44"/>
      <c r="AP33" s="73">
        <v>32786</v>
      </c>
      <c r="AQ33" s="44"/>
      <c r="AR33" s="44"/>
      <c r="AS33" s="40"/>
      <c r="AT33" s="40"/>
      <c r="AU33" s="40"/>
      <c r="AV33" s="40"/>
      <c r="AW33" s="40"/>
      <c r="AX33" s="40"/>
      <c r="AY33" s="40"/>
      <c r="AZ33" s="45"/>
    </row>
    <row r="34" spans="1:53" s="19" customFormat="1" x14ac:dyDescent="0.2">
      <c r="A34" s="72" t="s">
        <v>137</v>
      </c>
      <c r="B34" s="72" t="s">
        <v>112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0"/>
      <c r="R34" s="40"/>
      <c r="S34" s="40"/>
      <c r="T34" s="73">
        <v>8000</v>
      </c>
      <c r="U34" s="41"/>
      <c r="V34" s="173" t="s">
        <v>167</v>
      </c>
      <c r="W34" s="42"/>
      <c r="X34" s="42">
        <v>53.9</v>
      </c>
      <c r="Y34" s="46"/>
      <c r="Z34" s="43"/>
      <c r="AA34" s="40"/>
      <c r="AB34" s="40"/>
      <c r="AC34" s="43"/>
      <c r="AD34" s="43"/>
      <c r="AE34" s="43"/>
      <c r="AF34" s="43"/>
      <c r="AG34" s="75">
        <v>44851</v>
      </c>
      <c r="AH34" s="75">
        <v>44851</v>
      </c>
      <c r="AI34" s="78"/>
      <c r="AJ34" s="78"/>
      <c r="AK34" s="78"/>
      <c r="AL34" s="58" t="s">
        <v>31</v>
      </c>
      <c r="AM34" s="73">
        <v>8000</v>
      </c>
      <c r="AN34" s="44"/>
      <c r="AO34" s="44"/>
      <c r="AP34" s="73">
        <v>7963</v>
      </c>
      <c r="AQ34" s="44"/>
      <c r="AR34" s="44"/>
      <c r="AS34" s="40"/>
      <c r="AT34" s="40"/>
      <c r="AU34" s="40"/>
      <c r="AV34" s="40"/>
      <c r="AW34" s="40"/>
      <c r="AX34" s="40"/>
      <c r="AY34" s="40"/>
      <c r="AZ34" s="45"/>
    </row>
    <row r="35" spans="1:53" s="19" customFormat="1" x14ac:dyDescent="0.2">
      <c r="A35" s="72" t="s">
        <v>145</v>
      </c>
      <c r="B35" s="72" t="s">
        <v>201</v>
      </c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0"/>
      <c r="R35" s="40"/>
      <c r="S35" s="40"/>
      <c r="T35" s="73">
        <v>19000</v>
      </c>
      <c r="U35" s="41"/>
      <c r="V35" s="173" t="s">
        <v>167</v>
      </c>
      <c r="W35" s="42"/>
      <c r="X35" s="42">
        <v>53.9</v>
      </c>
      <c r="Y35" s="46"/>
      <c r="Z35" s="43"/>
      <c r="AA35" s="40"/>
      <c r="AB35" s="40"/>
      <c r="AC35" s="43"/>
      <c r="AD35" s="43"/>
      <c r="AE35" s="43"/>
      <c r="AF35" s="43"/>
      <c r="AG35" s="75">
        <v>44851</v>
      </c>
      <c r="AH35" s="75">
        <v>44851</v>
      </c>
      <c r="AI35" s="77">
        <v>44761</v>
      </c>
      <c r="AJ35" s="77">
        <v>44765</v>
      </c>
      <c r="AK35" s="77">
        <v>44765</v>
      </c>
      <c r="AL35" s="58" t="s">
        <v>31</v>
      </c>
      <c r="AM35" s="73">
        <v>19000</v>
      </c>
      <c r="AN35" s="44"/>
      <c r="AO35" s="44"/>
      <c r="AP35" s="73">
        <v>18968</v>
      </c>
      <c r="AQ35" s="44"/>
      <c r="AR35" s="44"/>
      <c r="AS35" s="40"/>
      <c r="AT35" s="40"/>
      <c r="AU35" s="40"/>
      <c r="AV35" s="40"/>
      <c r="AW35" s="40"/>
      <c r="AX35" s="40"/>
      <c r="AY35" s="40"/>
      <c r="AZ35" s="45"/>
    </row>
    <row r="36" spans="1:53" s="19" customFormat="1" x14ac:dyDescent="0.2">
      <c r="A36" s="72" t="s">
        <v>134</v>
      </c>
      <c r="B36" s="153" t="s">
        <v>196</v>
      </c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0"/>
      <c r="S36" s="40"/>
      <c r="T36" s="73">
        <v>55000</v>
      </c>
      <c r="U36" s="41"/>
      <c r="V36" s="173" t="s">
        <v>167</v>
      </c>
      <c r="W36" s="42"/>
      <c r="X36" s="42">
        <v>53.9</v>
      </c>
      <c r="Y36" s="46"/>
      <c r="Z36" s="43"/>
      <c r="AA36" s="40"/>
      <c r="AB36" s="40"/>
      <c r="AC36" s="43"/>
      <c r="AD36" s="43"/>
      <c r="AE36" s="43"/>
      <c r="AF36" s="43"/>
      <c r="AG36" s="75">
        <v>44851</v>
      </c>
      <c r="AH36" s="75">
        <v>44851</v>
      </c>
      <c r="AI36" s="78"/>
      <c r="AJ36" s="78"/>
      <c r="AK36" s="78"/>
      <c r="AL36" s="58" t="s">
        <v>31</v>
      </c>
      <c r="AM36" s="73">
        <v>55000</v>
      </c>
      <c r="AN36" s="44"/>
      <c r="AO36" s="44"/>
      <c r="AP36" s="73">
        <v>54901</v>
      </c>
      <c r="AQ36" s="44"/>
      <c r="AR36" s="44"/>
      <c r="AS36" s="40"/>
      <c r="AT36" s="40"/>
      <c r="AU36" s="40"/>
      <c r="AV36" s="40"/>
      <c r="AW36" s="40"/>
      <c r="AX36" s="40"/>
      <c r="AY36" s="40"/>
      <c r="AZ36" s="45"/>
    </row>
    <row r="37" spans="1:53" s="19" customFormat="1" x14ac:dyDescent="0.2">
      <c r="A37" s="72" t="s">
        <v>143</v>
      </c>
      <c r="B37" s="153" t="s">
        <v>185</v>
      </c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0"/>
      <c r="R37" s="40"/>
      <c r="S37" s="40"/>
      <c r="T37" s="73">
        <v>149625</v>
      </c>
      <c r="U37" s="41"/>
      <c r="V37" s="173" t="s">
        <v>167</v>
      </c>
      <c r="W37" s="42"/>
      <c r="X37" s="42">
        <v>53.9</v>
      </c>
      <c r="Y37" s="46"/>
      <c r="Z37" s="43"/>
      <c r="AA37" s="40"/>
      <c r="AB37" s="40"/>
      <c r="AC37" s="43"/>
      <c r="AD37" s="43"/>
      <c r="AE37" s="43"/>
      <c r="AF37" s="43"/>
      <c r="AG37" s="75">
        <v>44851</v>
      </c>
      <c r="AH37" s="75">
        <v>44851</v>
      </c>
      <c r="AI37" s="78"/>
      <c r="AJ37" s="78"/>
      <c r="AK37" s="78"/>
      <c r="AL37" s="58" t="s">
        <v>31</v>
      </c>
      <c r="AM37" s="73">
        <v>149625</v>
      </c>
      <c r="AN37" s="44"/>
      <c r="AO37" s="44"/>
      <c r="AP37" s="73">
        <v>149391</v>
      </c>
      <c r="AQ37" s="44"/>
      <c r="AR37" s="44"/>
      <c r="AS37" s="40"/>
      <c r="AT37" s="40"/>
      <c r="AU37" s="40"/>
      <c r="AV37" s="40"/>
      <c r="AW37" s="40"/>
      <c r="AX37" s="40"/>
      <c r="AY37" s="40"/>
      <c r="AZ37" s="45"/>
    </row>
    <row r="38" spans="1:53" s="19" customFormat="1" x14ac:dyDescent="0.2">
      <c r="A38" s="72" t="s">
        <v>143</v>
      </c>
      <c r="B38" s="153" t="s">
        <v>185</v>
      </c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0"/>
      <c r="R38" s="40"/>
      <c r="S38" s="40"/>
      <c r="T38" s="73">
        <v>5000</v>
      </c>
      <c r="U38" s="41"/>
      <c r="V38" s="174" t="s">
        <v>167</v>
      </c>
      <c r="W38" s="42"/>
      <c r="X38" s="42">
        <v>53.9</v>
      </c>
      <c r="Y38" s="46"/>
      <c r="Z38" s="43"/>
      <c r="AA38" s="40"/>
      <c r="AB38" s="40"/>
      <c r="AC38" s="43"/>
      <c r="AD38" s="43"/>
      <c r="AE38" s="43"/>
      <c r="AF38" s="43"/>
      <c r="AG38" s="75">
        <v>44851</v>
      </c>
      <c r="AH38" s="75">
        <v>44851</v>
      </c>
      <c r="AI38" s="78"/>
      <c r="AJ38" s="78"/>
      <c r="AK38" s="78"/>
      <c r="AL38" s="58" t="s">
        <v>31</v>
      </c>
      <c r="AM38" s="73">
        <v>5000</v>
      </c>
      <c r="AN38" s="44"/>
      <c r="AO38" s="44"/>
      <c r="AP38" s="73">
        <v>4994</v>
      </c>
      <c r="AQ38" s="44"/>
      <c r="AR38" s="44"/>
      <c r="AS38" s="40"/>
      <c r="AT38" s="40"/>
      <c r="AU38" s="40"/>
      <c r="AV38" s="40"/>
      <c r="AW38" s="40"/>
      <c r="AX38" s="40"/>
      <c r="AY38" s="40"/>
      <c r="AZ38" s="45"/>
    </row>
    <row r="39" spans="1:53" s="19" customFormat="1" x14ac:dyDescent="0.2">
      <c r="A39" s="72" t="s">
        <v>143</v>
      </c>
      <c r="B39" s="72" t="s">
        <v>185</v>
      </c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0"/>
      <c r="R39" s="40"/>
      <c r="S39" s="40"/>
      <c r="T39" s="73">
        <v>5000</v>
      </c>
      <c r="U39" s="41"/>
      <c r="V39" s="116" t="s">
        <v>167</v>
      </c>
      <c r="W39" s="42"/>
      <c r="X39" s="42">
        <v>53.9</v>
      </c>
      <c r="Y39" s="46"/>
      <c r="Z39" s="43"/>
      <c r="AA39" s="40"/>
      <c r="AB39" s="40"/>
      <c r="AC39" s="43"/>
      <c r="AD39" s="43"/>
      <c r="AE39" s="43"/>
      <c r="AF39" s="43"/>
      <c r="AG39" s="75">
        <v>44901</v>
      </c>
      <c r="AH39" s="75">
        <v>44901</v>
      </c>
      <c r="AI39" s="78"/>
      <c r="AJ39" s="156"/>
      <c r="AK39" s="156"/>
      <c r="AL39" s="58" t="s">
        <v>31</v>
      </c>
      <c r="AM39" s="73">
        <v>5000</v>
      </c>
      <c r="AN39" s="44"/>
      <c r="AO39" s="44"/>
      <c r="AP39" s="73">
        <v>4979</v>
      </c>
      <c r="AQ39" s="44"/>
      <c r="AR39" s="44"/>
      <c r="AS39" s="40"/>
      <c r="AT39" s="40"/>
      <c r="AU39" s="40"/>
      <c r="AV39" s="40"/>
      <c r="AW39" s="40"/>
      <c r="AX39" s="40"/>
      <c r="AY39" s="40"/>
      <c r="AZ39" s="45"/>
    </row>
    <row r="40" spans="1:53" s="19" customFormat="1" ht="25.5" x14ac:dyDescent="0.2">
      <c r="A40" s="72" t="s">
        <v>139</v>
      </c>
      <c r="B40" s="72" t="s">
        <v>198</v>
      </c>
      <c r="C40" s="40"/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0"/>
      <c r="R40" s="40"/>
      <c r="S40" s="40"/>
      <c r="T40" s="73">
        <v>20000</v>
      </c>
      <c r="U40" s="41"/>
      <c r="V40" s="173" t="s">
        <v>167</v>
      </c>
      <c r="W40" s="42"/>
      <c r="X40" s="42">
        <v>53.9</v>
      </c>
      <c r="Y40" s="46"/>
      <c r="Z40" s="43"/>
      <c r="AA40" s="40"/>
      <c r="AB40" s="40"/>
      <c r="AC40" s="43"/>
      <c r="AD40" s="43"/>
      <c r="AE40" s="43"/>
      <c r="AF40" s="43"/>
      <c r="AG40" s="75">
        <v>44901</v>
      </c>
      <c r="AH40" s="75">
        <v>44901</v>
      </c>
      <c r="AI40" s="78"/>
      <c r="AJ40" s="156"/>
      <c r="AK40" s="156"/>
      <c r="AL40" s="58" t="s">
        <v>31</v>
      </c>
      <c r="AM40" s="73">
        <v>20000</v>
      </c>
      <c r="AN40" s="44"/>
      <c r="AO40" s="44"/>
      <c r="AP40" s="73">
        <v>19850</v>
      </c>
      <c r="AQ40" s="44"/>
      <c r="AR40" s="44"/>
      <c r="AS40" s="40"/>
      <c r="AT40" s="40"/>
      <c r="AU40" s="40"/>
      <c r="AV40" s="40"/>
      <c r="AW40" s="40"/>
      <c r="AX40" s="40"/>
      <c r="AY40" s="40"/>
      <c r="AZ40" s="45"/>
    </row>
    <row r="41" spans="1:53" s="19" customFormat="1" x14ac:dyDescent="0.2">
      <c r="A41" s="72" t="s">
        <v>134</v>
      </c>
      <c r="B41" s="72" t="s">
        <v>110</v>
      </c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0"/>
      <c r="R41" s="40"/>
      <c r="S41" s="40"/>
      <c r="T41" s="73">
        <v>5000</v>
      </c>
      <c r="U41" s="41"/>
      <c r="V41" s="116" t="s">
        <v>167</v>
      </c>
      <c r="W41" s="42"/>
      <c r="X41" s="42">
        <v>53.9</v>
      </c>
      <c r="Y41" s="46"/>
      <c r="Z41" s="43"/>
      <c r="AA41" s="40"/>
      <c r="AB41" s="40"/>
      <c r="AC41" s="43"/>
      <c r="AD41" s="43"/>
      <c r="AE41" s="43"/>
      <c r="AF41" s="43"/>
      <c r="AG41" s="75">
        <v>44908</v>
      </c>
      <c r="AH41" s="75">
        <v>44908</v>
      </c>
      <c r="AI41" s="97"/>
      <c r="AJ41" s="97"/>
      <c r="AK41" s="97"/>
      <c r="AL41" s="58" t="s">
        <v>31</v>
      </c>
      <c r="AM41" s="158">
        <v>5000</v>
      </c>
      <c r="AN41" s="161"/>
      <c r="AO41" s="161"/>
      <c r="AP41" s="73">
        <v>4975</v>
      </c>
      <c r="AQ41" s="44"/>
      <c r="AR41" s="44"/>
      <c r="AS41" s="40"/>
      <c r="AT41" s="40"/>
      <c r="AU41" s="40"/>
      <c r="AV41" s="40"/>
      <c r="AW41" s="40"/>
      <c r="AX41" s="40"/>
      <c r="AY41" s="40"/>
      <c r="AZ41" s="45"/>
    </row>
    <row r="42" spans="1:53" s="19" customFormat="1" ht="12.75" x14ac:dyDescent="0.2">
      <c r="A42" s="245" t="s">
        <v>45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54">
        <f>SUM(AM26:AM41)</f>
        <v>694625</v>
      </c>
      <c r="AN42" s="255"/>
      <c r="AO42" s="264"/>
      <c r="AP42" s="247"/>
      <c r="AQ42" s="247"/>
      <c r="AR42" s="247"/>
    </row>
    <row r="47" spans="1:53" ht="15" x14ac:dyDescent="0.2">
      <c r="V47" s="67" t="s">
        <v>46</v>
      </c>
      <c r="W47" s="11"/>
      <c r="X47" s="66"/>
      <c r="Y47" s="21"/>
      <c r="Z47" s="21"/>
      <c r="AA47" s="21"/>
      <c r="AB47" s="21"/>
      <c r="AC47" s="21"/>
      <c r="AD47" s="21"/>
      <c r="AE47" s="21"/>
      <c r="AF47" s="21"/>
      <c r="AG47" s="12" t="s">
        <v>47</v>
      </c>
      <c r="AI47" s="21"/>
      <c r="AJ47" s="51"/>
      <c r="AK47" s="21"/>
      <c r="AL47" s="59"/>
      <c r="AM47" s="39"/>
      <c r="AN47" s="23"/>
      <c r="AO47" s="23"/>
      <c r="AP47" s="39"/>
      <c r="AQ47" s="22"/>
      <c r="AR47" s="24" t="s">
        <v>48</v>
      </c>
      <c r="AS47" s="25"/>
      <c r="AU47" s="26"/>
      <c r="AV47" s="27"/>
      <c r="AW47" s="27"/>
      <c r="AX47" s="27"/>
      <c r="AY47" s="26"/>
      <c r="AZ47" s="26"/>
      <c r="BA47" s="26"/>
    </row>
    <row r="48" spans="1:53" ht="15" x14ac:dyDescent="0.2">
      <c r="V48" s="67"/>
      <c r="W48" s="11"/>
      <c r="X48" s="67"/>
      <c r="Y48" s="11"/>
      <c r="Z48" s="11"/>
      <c r="AA48" s="11"/>
      <c r="AB48" s="11"/>
      <c r="AC48" s="11"/>
      <c r="AD48" s="11"/>
      <c r="AE48" s="22"/>
      <c r="AF48" s="22"/>
      <c r="AG48" s="27"/>
      <c r="AI48" s="21"/>
      <c r="AJ48" s="52"/>
      <c r="AK48" s="21"/>
      <c r="AL48" s="59"/>
      <c r="AM48" s="39"/>
      <c r="AN48" s="23"/>
      <c r="AO48" s="23"/>
      <c r="AP48" s="39"/>
      <c r="AQ48" s="22"/>
      <c r="AR48" s="11"/>
      <c r="AS48" s="25"/>
      <c r="AU48" s="28"/>
      <c r="AV48" s="11"/>
      <c r="AW48" s="11"/>
      <c r="AX48" s="11"/>
      <c r="AY48" s="11"/>
      <c r="AZ48" s="11"/>
      <c r="BA48" s="11"/>
    </row>
    <row r="49" spans="22:53" ht="15" x14ac:dyDescent="0.2">
      <c r="V49" s="67"/>
      <c r="W49" s="11"/>
      <c r="X49" s="67"/>
      <c r="Y49" s="11"/>
      <c r="Z49" s="11"/>
      <c r="AA49" s="11"/>
      <c r="AB49" s="11"/>
      <c r="AC49" s="11"/>
      <c r="AD49" s="11"/>
      <c r="AE49" s="11"/>
      <c r="AF49" s="11"/>
      <c r="AG49" s="25"/>
      <c r="AI49" s="21"/>
      <c r="AJ49" s="51"/>
      <c r="AK49" s="21"/>
      <c r="AL49" s="59"/>
      <c r="AM49" s="39"/>
      <c r="AN49" s="23"/>
      <c r="AO49" s="23"/>
      <c r="AP49" s="39"/>
      <c r="AQ49" s="22"/>
      <c r="AR49" s="11"/>
      <c r="AS49" s="25"/>
      <c r="AU49" s="28"/>
      <c r="AV49" s="11"/>
      <c r="AW49" s="11"/>
      <c r="AX49" s="11"/>
      <c r="AY49" s="11"/>
      <c r="AZ49" s="11"/>
      <c r="BA49" s="11"/>
    </row>
    <row r="50" spans="22:53" ht="15" x14ac:dyDescent="0.2">
      <c r="V50" s="65" t="s">
        <v>178</v>
      </c>
      <c r="AG50" s="20" t="s">
        <v>180</v>
      </c>
      <c r="AI50" s="21"/>
      <c r="AJ50" s="51"/>
      <c r="AK50" s="21"/>
      <c r="AL50" s="59"/>
      <c r="AM50" s="39"/>
      <c r="AN50" s="23"/>
      <c r="AO50" s="23"/>
      <c r="AP50" s="39"/>
      <c r="AQ50" s="22"/>
      <c r="AR50" s="21" t="s">
        <v>50</v>
      </c>
      <c r="AS50" s="25"/>
      <c r="AU50" s="28"/>
      <c r="AV50" s="21"/>
      <c r="AW50" s="21"/>
      <c r="AX50" s="21"/>
      <c r="AY50" s="21"/>
      <c r="AZ50" s="21"/>
      <c r="BA50" s="21"/>
    </row>
    <row r="51" spans="22:53" x14ac:dyDescent="0.2">
      <c r="V51" s="65" t="s">
        <v>177</v>
      </c>
      <c r="AG51" s="20" t="s">
        <v>181</v>
      </c>
    </row>
    <row r="52" spans="22:53" x14ac:dyDescent="0.2">
      <c r="V52" s="65" t="s">
        <v>179</v>
      </c>
      <c r="AG52" s="20" t="s">
        <v>182</v>
      </c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21:AL21"/>
    <mergeCell ref="AM21:AO21"/>
    <mergeCell ref="AP21:AR21"/>
    <mergeCell ref="A22:AL22"/>
    <mergeCell ref="AM22:AO22"/>
    <mergeCell ref="AP22:AR22"/>
    <mergeCell ref="A23:AL23"/>
    <mergeCell ref="AM23:AR23"/>
    <mergeCell ref="A42:AL42"/>
    <mergeCell ref="AM42:AO42"/>
    <mergeCell ref="AP42:AR4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0"/>
  <sheetViews>
    <sheetView topLeftCell="AB4" workbookViewId="0">
      <selection activeCell="V14" sqref="V14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3" width="13.42578125" style="20" customWidth="1"/>
    <col min="24" max="24" width="14.42578125" style="65" customWidth="1"/>
    <col min="25" max="25" width="20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3.28515625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268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thickBot="1" x14ac:dyDescent="0.25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6" customFormat="1" ht="12.75" x14ac:dyDescent="0.2">
      <c r="A9" s="72" t="s">
        <v>143</v>
      </c>
      <c r="B9" s="72" t="s">
        <v>128</v>
      </c>
      <c r="C9" s="85"/>
      <c r="D9" s="85"/>
      <c r="E9" s="85"/>
      <c r="F9" s="85"/>
      <c r="G9" s="85"/>
      <c r="H9" s="85"/>
      <c r="I9" s="85"/>
      <c r="J9" s="86"/>
      <c r="K9" s="85"/>
      <c r="L9" s="85"/>
      <c r="M9" s="85"/>
      <c r="N9" s="85"/>
      <c r="O9" s="85"/>
      <c r="P9" s="85"/>
      <c r="Q9" s="85"/>
      <c r="R9" s="87"/>
      <c r="S9" s="87"/>
      <c r="T9" s="73">
        <v>114650</v>
      </c>
      <c r="U9" s="91"/>
      <c r="V9" s="97" t="s">
        <v>170</v>
      </c>
      <c r="W9" s="92"/>
      <c r="X9" s="92">
        <v>53.9</v>
      </c>
      <c r="Y9" s="88"/>
      <c r="Z9" s="91"/>
      <c r="AA9" s="91"/>
      <c r="AB9" s="91"/>
      <c r="AC9" s="91"/>
      <c r="AD9" s="91"/>
      <c r="AE9" s="215"/>
      <c r="AF9" s="215"/>
      <c r="AG9" s="75">
        <v>44613</v>
      </c>
      <c r="AH9" s="75">
        <v>44613</v>
      </c>
      <c r="AI9" s="77">
        <v>44670</v>
      </c>
      <c r="AJ9" s="79">
        <v>44678</v>
      </c>
      <c r="AK9" s="79">
        <v>44678</v>
      </c>
      <c r="AL9" s="92" t="s">
        <v>31</v>
      </c>
      <c r="AM9" s="73">
        <v>114650</v>
      </c>
      <c r="AN9" s="93"/>
      <c r="AO9" s="89"/>
      <c r="AP9" s="73">
        <v>113852</v>
      </c>
      <c r="AQ9" s="89"/>
      <c r="AR9" s="89"/>
      <c r="AS9" s="87"/>
      <c r="AT9" s="85"/>
      <c r="AU9" s="85"/>
      <c r="AV9" s="85"/>
      <c r="AW9" s="85"/>
      <c r="AX9" s="85"/>
      <c r="AY9" s="85"/>
      <c r="AZ9" s="90"/>
    </row>
    <row r="10" spans="1:52" s="16" customFormat="1" ht="12.75" x14ac:dyDescent="0.2">
      <c r="A10" s="72" t="s">
        <v>141</v>
      </c>
      <c r="B10" s="72" t="s">
        <v>130</v>
      </c>
      <c r="C10" s="122"/>
      <c r="D10" s="122"/>
      <c r="E10" s="122"/>
      <c r="F10" s="122"/>
      <c r="G10" s="122"/>
      <c r="H10" s="122"/>
      <c r="I10" s="122"/>
      <c r="J10" s="175"/>
      <c r="K10" s="122"/>
      <c r="L10" s="122"/>
      <c r="M10" s="122"/>
      <c r="N10" s="122"/>
      <c r="O10" s="122"/>
      <c r="P10" s="122"/>
      <c r="Q10" s="122"/>
      <c r="R10" s="123"/>
      <c r="S10" s="123"/>
      <c r="T10" s="73">
        <f>11500+79000+62000</f>
        <v>152500</v>
      </c>
      <c r="U10" s="122"/>
      <c r="V10" s="97" t="s">
        <v>170</v>
      </c>
      <c r="W10" s="123"/>
      <c r="X10" s="92">
        <v>53.9</v>
      </c>
      <c r="Y10" s="88"/>
      <c r="Z10" s="91"/>
      <c r="AA10" s="91"/>
      <c r="AB10" s="91"/>
      <c r="AC10" s="91"/>
      <c r="AD10" s="91"/>
      <c r="AE10" s="215"/>
      <c r="AF10" s="215"/>
      <c r="AG10" s="75">
        <v>44662</v>
      </c>
      <c r="AH10" s="75">
        <v>44662</v>
      </c>
      <c r="AI10" s="77">
        <v>44708</v>
      </c>
      <c r="AJ10" s="79">
        <v>44714</v>
      </c>
      <c r="AK10" s="79">
        <v>44714</v>
      </c>
      <c r="AL10" s="92" t="s">
        <v>31</v>
      </c>
      <c r="AM10" s="73">
        <f>11500+79000+62000</f>
        <v>152500</v>
      </c>
      <c r="AN10" s="93"/>
      <c r="AO10" s="125"/>
      <c r="AP10" s="73">
        <f>11480+79000+59970</f>
        <v>150450</v>
      </c>
      <c r="AQ10" s="125"/>
      <c r="AR10" s="125"/>
      <c r="AS10" s="123"/>
      <c r="AT10" s="122"/>
      <c r="AU10" s="122"/>
      <c r="AV10" s="122"/>
      <c r="AW10" s="122"/>
      <c r="AX10" s="122"/>
      <c r="AY10" s="122"/>
      <c r="AZ10" s="176"/>
    </row>
    <row r="11" spans="1:52" s="16" customFormat="1" ht="12.75" x14ac:dyDescent="0.2">
      <c r="A11" s="72" t="s">
        <v>143</v>
      </c>
      <c r="B11" s="72" t="s">
        <v>128</v>
      </c>
      <c r="C11" s="122"/>
      <c r="D11" s="122"/>
      <c r="E11" s="122"/>
      <c r="F11" s="122"/>
      <c r="G11" s="122"/>
      <c r="H11" s="122"/>
      <c r="I11" s="122"/>
      <c r="J11" s="175"/>
      <c r="K11" s="122"/>
      <c r="L11" s="122"/>
      <c r="M11" s="122"/>
      <c r="N11" s="122"/>
      <c r="O11" s="122"/>
      <c r="P11" s="122"/>
      <c r="Q11" s="122"/>
      <c r="R11" s="123"/>
      <c r="S11" s="123"/>
      <c r="T11" s="73">
        <f>56650+9000+9000+36000</f>
        <v>110650</v>
      </c>
      <c r="U11" s="122"/>
      <c r="V11" s="97" t="s">
        <v>170</v>
      </c>
      <c r="W11" s="123"/>
      <c r="X11" s="92">
        <v>53.9</v>
      </c>
      <c r="Y11" s="88"/>
      <c r="Z11" s="91"/>
      <c r="AA11" s="91"/>
      <c r="AB11" s="91"/>
      <c r="AC11" s="91"/>
      <c r="AD11" s="91"/>
      <c r="AE11" s="215"/>
      <c r="AF11" s="215"/>
      <c r="AG11" s="76">
        <v>44662</v>
      </c>
      <c r="AH11" s="76">
        <v>44662</v>
      </c>
      <c r="AI11" s="77">
        <v>44655</v>
      </c>
      <c r="AJ11" s="79">
        <v>44662</v>
      </c>
      <c r="AK11" s="79">
        <v>44662</v>
      </c>
      <c r="AL11" s="92" t="s">
        <v>31</v>
      </c>
      <c r="AM11" s="73">
        <f>56650+9000+9000+36000</f>
        <v>110650</v>
      </c>
      <c r="AN11" s="93"/>
      <c r="AO11" s="125"/>
      <c r="AP11" s="73">
        <v>110279</v>
      </c>
      <c r="AQ11" s="125"/>
      <c r="AR11" s="125"/>
      <c r="AS11" s="123"/>
      <c r="AT11" s="122"/>
      <c r="AU11" s="122"/>
      <c r="AV11" s="122"/>
      <c r="AW11" s="122"/>
      <c r="AX11" s="122"/>
      <c r="AY11" s="122"/>
      <c r="AZ11" s="176"/>
    </row>
    <row r="12" spans="1:52" s="16" customFormat="1" ht="12.75" x14ac:dyDescent="0.2">
      <c r="A12" s="72" t="s">
        <v>146</v>
      </c>
      <c r="B12" s="72" t="s">
        <v>121</v>
      </c>
      <c r="C12" s="122"/>
      <c r="D12" s="122"/>
      <c r="E12" s="122"/>
      <c r="F12" s="122"/>
      <c r="G12" s="122"/>
      <c r="H12" s="122"/>
      <c r="I12" s="122"/>
      <c r="J12" s="175"/>
      <c r="K12" s="122"/>
      <c r="L12" s="122"/>
      <c r="M12" s="122"/>
      <c r="N12" s="122"/>
      <c r="O12" s="122"/>
      <c r="P12" s="122"/>
      <c r="Q12" s="122"/>
      <c r="R12" s="123"/>
      <c r="S12" s="123"/>
      <c r="T12" s="73">
        <v>6000</v>
      </c>
      <c r="U12" s="122"/>
      <c r="V12" s="97" t="s">
        <v>170</v>
      </c>
      <c r="W12" s="123"/>
      <c r="X12" s="92">
        <v>53.9</v>
      </c>
      <c r="Y12" s="88"/>
      <c r="Z12" s="91"/>
      <c r="AA12" s="91"/>
      <c r="AB12" s="91"/>
      <c r="AC12" s="91"/>
      <c r="AD12" s="91"/>
      <c r="AE12" s="215"/>
      <c r="AF12" s="215"/>
      <c r="AG12" s="75">
        <v>44699</v>
      </c>
      <c r="AH12" s="75">
        <v>44699</v>
      </c>
      <c r="AI12" s="77">
        <v>44727</v>
      </c>
      <c r="AJ12" s="79">
        <v>44733</v>
      </c>
      <c r="AK12" s="79">
        <v>44733</v>
      </c>
      <c r="AL12" s="92" t="s">
        <v>31</v>
      </c>
      <c r="AM12" s="73">
        <v>6000</v>
      </c>
      <c r="AN12" s="93"/>
      <c r="AO12" s="125"/>
      <c r="AP12" s="73">
        <v>5971</v>
      </c>
      <c r="AQ12" s="125"/>
      <c r="AR12" s="125"/>
      <c r="AS12" s="123"/>
      <c r="AT12" s="122"/>
      <c r="AU12" s="122"/>
      <c r="AV12" s="122"/>
      <c r="AW12" s="122"/>
      <c r="AX12" s="122"/>
      <c r="AY12" s="122"/>
      <c r="AZ12" s="176"/>
    </row>
    <row r="13" spans="1:52" s="16" customFormat="1" ht="12.75" x14ac:dyDescent="0.2">
      <c r="A13" s="72" t="s">
        <v>135</v>
      </c>
      <c r="B13" s="72" t="s">
        <v>109</v>
      </c>
      <c r="C13" s="122"/>
      <c r="D13" s="122"/>
      <c r="E13" s="122"/>
      <c r="F13" s="122"/>
      <c r="G13" s="122"/>
      <c r="H13" s="122"/>
      <c r="I13" s="122"/>
      <c r="J13" s="175"/>
      <c r="K13" s="122"/>
      <c r="L13" s="122"/>
      <c r="M13" s="122"/>
      <c r="N13" s="122"/>
      <c r="O13" s="122"/>
      <c r="P13" s="122"/>
      <c r="Q13" s="122"/>
      <c r="R13" s="123"/>
      <c r="S13" s="123"/>
      <c r="T13" s="73">
        <v>45000</v>
      </c>
      <c r="U13" s="122"/>
      <c r="V13" s="97" t="s">
        <v>170</v>
      </c>
      <c r="W13" s="123"/>
      <c r="X13" s="92">
        <v>53.9</v>
      </c>
      <c r="Y13" s="88"/>
      <c r="Z13" s="122"/>
      <c r="AA13" s="122"/>
      <c r="AB13" s="122"/>
      <c r="AC13" s="122"/>
      <c r="AD13" s="122"/>
      <c r="AE13" s="175"/>
      <c r="AF13" s="175"/>
      <c r="AG13" s="75">
        <v>44623</v>
      </c>
      <c r="AH13" s="75">
        <v>44623</v>
      </c>
      <c r="AI13" s="77">
        <v>44700</v>
      </c>
      <c r="AJ13" s="79">
        <v>44705</v>
      </c>
      <c r="AK13" s="79">
        <v>44705</v>
      </c>
      <c r="AL13" s="92" t="s">
        <v>31</v>
      </c>
      <c r="AM13" s="73">
        <v>45000</v>
      </c>
      <c r="AN13" s="93"/>
      <c r="AO13" s="125"/>
      <c r="AP13" s="73">
        <f>29878+14948</f>
        <v>44826</v>
      </c>
      <c r="AQ13" s="125"/>
      <c r="AR13" s="125"/>
      <c r="AS13" s="123"/>
      <c r="AT13" s="122"/>
      <c r="AU13" s="122"/>
      <c r="AV13" s="122"/>
      <c r="AW13" s="122"/>
      <c r="AX13" s="122"/>
      <c r="AY13" s="122"/>
      <c r="AZ13" s="176"/>
    </row>
    <row r="14" spans="1:52" s="16" customFormat="1" ht="12.75" x14ac:dyDescent="0.2">
      <c r="A14" s="72" t="s">
        <v>144</v>
      </c>
      <c r="B14" s="72" t="s">
        <v>126</v>
      </c>
      <c r="C14" s="122"/>
      <c r="D14" s="122"/>
      <c r="E14" s="122"/>
      <c r="F14" s="122"/>
      <c r="G14" s="122"/>
      <c r="H14" s="122"/>
      <c r="I14" s="122"/>
      <c r="J14" s="175"/>
      <c r="K14" s="122"/>
      <c r="L14" s="122"/>
      <c r="M14" s="122"/>
      <c r="N14" s="122"/>
      <c r="O14" s="122"/>
      <c r="P14" s="122"/>
      <c r="Q14" s="122"/>
      <c r="R14" s="123"/>
      <c r="S14" s="123"/>
      <c r="T14" s="73">
        <f>106000+60000</f>
        <v>166000</v>
      </c>
      <c r="U14" s="122"/>
      <c r="V14" s="97" t="s">
        <v>170</v>
      </c>
      <c r="W14" s="123"/>
      <c r="X14" s="92">
        <v>53.9</v>
      </c>
      <c r="Y14" s="88"/>
      <c r="Z14" s="122"/>
      <c r="AA14" s="122"/>
      <c r="AB14" s="122"/>
      <c r="AC14" s="122"/>
      <c r="AD14" s="122"/>
      <c r="AE14" s="175"/>
      <c r="AF14" s="175"/>
      <c r="AG14" s="75">
        <v>44627</v>
      </c>
      <c r="AH14" s="75">
        <v>44627</v>
      </c>
      <c r="AI14" s="77">
        <v>44663</v>
      </c>
      <c r="AJ14" s="79">
        <v>44670</v>
      </c>
      <c r="AK14" s="79">
        <v>44670</v>
      </c>
      <c r="AL14" s="92" t="s">
        <v>31</v>
      </c>
      <c r="AM14" s="73">
        <f>106000+60000</f>
        <v>166000</v>
      </c>
      <c r="AN14" s="93"/>
      <c r="AO14" s="125"/>
      <c r="AP14" s="73">
        <f>105862+59956</f>
        <v>165818</v>
      </c>
      <c r="AQ14" s="125"/>
      <c r="AR14" s="125"/>
      <c r="AS14" s="123"/>
      <c r="AT14" s="122"/>
      <c r="AU14" s="122"/>
      <c r="AV14" s="122"/>
      <c r="AW14" s="122"/>
      <c r="AX14" s="122"/>
      <c r="AY14" s="122"/>
      <c r="AZ14" s="176"/>
    </row>
    <row r="15" spans="1:52" s="16" customFormat="1" ht="12.75" x14ac:dyDescent="0.2">
      <c r="A15" s="72" t="s">
        <v>141</v>
      </c>
      <c r="B15" s="72" t="s">
        <v>130</v>
      </c>
      <c r="C15" s="122"/>
      <c r="D15" s="122"/>
      <c r="E15" s="122"/>
      <c r="F15" s="122"/>
      <c r="G15" s="122"/>
      <c r="H15" s="122"/>
      <c r="I15" s="122"/>
      <c r="J15" s="175"/>
      <c r="K15" s="122"/>
      <c r="L15" s="122"/>
      <c r="M15" s="122"/>
      <c r="N15" s="122"/>
      <c r="O15" s="122"/>
      <c r="P15" s="122"/>
      <c r="Q15" s="122"/>
      <c r="R15" s="123"/>
      <c r="S15" s="123"/>
      <c r="T15" s="73">
        <f>15500+11000+24000</f>
        <v>50500</v>
      </c>
      <c r="U15" s="122"/>
      <c r="V15" s="97" t="s">
        <v>170</v>
      </c>
      <c r="W15" s="123"/>
      <c r="X15" s="92">
        <v>53.9</v>
      </c>
      <c r="Y15" s="88"/>
      <c r="Z15" s="122"/>
      <c r="AA15" s="122"/>
      <c r="AB15" s="122"/>
      <c r="AC15" s="122"/>
      <c r="AD15" s="122"/>
      <c r="AE15" s="175"/>
      <c r="AF15" s="175"/>
      <c r="AG15" s="75">
        <v>44627</v>
      </c>
      <c r="AH15" s="75">
        <v>44627</v>
      </c>
      <c r="AI15" s="77">
        <v>44718</v>
      </c>
      <c r="AJ15" s="79">
        <v>44725</v>
      </c>
      <c r="AK15" s="79">
        <v>44725</v>
      </c>
      <c r="AL15" s="92" t="s">
        <v>31</v>
      </c>
      <c r="AM15" s="73">
        <f>15500+11000+24000</f>
        <v>50500</v>
      </c>
      <c r="AN15" s="93"/>
      <c r="AO15" s="125"/>
      <c r="AP15" s="73">
        <f>15460+10975+23965</f>
        <v>50400</v>
      </c>
      <c r="AQ15" s="125"/>
      <c r="AR15" s="125"/>
      <c r="AS15" s="123"/>
      <c r="AT15" s="122"/>
      <c r="AU15" s="122"/>
      <c r="AV15" s="122"/>
      <c r="AW15" s="122"/>
      <c r="AX15" s="122"/>
      <c r="AY15" s="122"/>
      <c r="AZ15" s="176"/>
    </row>
    <row r="16" spans="1:52" s="16" customFormat="1" ht="12.75" x14ac:dyDescent="0.2">
      <c r="A16" s="72" t="s">
        <v>145</v>
      </c>
      <c r="B16" s="72" t="s">
        <v>118</v>
      </c>
      <c r="C16" s="122"/>
      <c r="D16" s="122"/>
      <c r="E16" s="122"/>
      <c r="F16" s="122"/>
      <c r="G16" s="122"/>
      <c r="H16" s="122"/>
      <c r="I16" s="122"/>
      <c r="J16" s="175"/>
      <c r="K16" s="122"/>
      <c r="L16" s="122"/>
      <c r="M16" s="122"/>
      <c r="N16" s="122"/>
      <c r="O16" s="122"/>
      <c r="P16" s="122"/>
      <c r="Q16" s="122"/>
      <c r="R16" s="123"/>
      <c r="S16" s="123"/>
      <c r="T16" s="73">
        <v>70000</v>
      </c>
      <c r="U16" s="122"/>
      <c r="V16" s="97" t="s">
        <v>170</v>
      </c>
      <c r="W16" s="123"/>
      <c r="X16" s="92">
        <v>53.9</v>
      </c>
      <c r="Y16" s="88"/>
      <c r="Z16" s="122"/>
      <c r="AA16" s="122"/>
      <c r="AB16" s="122"/>
      <c r="AC16" s="122"/>
      <c r="AD16" s="122"/>
      <c r="AE16" s="175"/>
      <c r="AF16" s="175"/>
      <c r="AG16" s="75">
        <v>44697</v>
      </c>
      <c r="AH16" s="75">
        <v>44697</v>
      </c>
      <c r="AI16" s="77">
        <v>44753</v>
      </c>
      <c r="AJ16" s="79">
        <v>44760</v>
      </c>
      <c r="AK16" s="79">
        <v>44760</v>
      </c>
      <c r="AL16" s="92" t="s">
        <v>31</v>
      </c>
      <c r="AM16" s="73">
        <v>70000</v>
      </c>
      <c r="AN16" s="93"/>
      <c r="AO16" s="125"/>
      <c r="AP16" s="73">
        <v>69880</v>
      </c>
      <c r="AQ16" s="125"/>
      <c r="AR16" s="125"/>
      <c r="AS16" s="123"/>
      <c r="AT16" s="122"/>
      <c r="AU16" s="122"/>
      <c r="AV16" s="122"/>
      <c r="AW16" s="122"/>
      <c r="AX16" s="122"/>
      <c r="AY16" s="122"/>
      <c r="AZ16" s="176"/>
    </row>
    <row r="17" spans="1:52" s="16" customFormat="1" ht="12.75" x14ac:dyDescent="0.2">
      <c r="A17" s="72" t="s">
        <v>145</v>
      </c>
      <c r="B17" s="72" t="s">
        <v>118</v>
      </c>
      <c r="C17" s="122"/>
      <c r="D17" s="122"/>
      <c r="E17" s="122"/>
      <c r="F17" s="122"/>
      <c r="G17" s="122"/>
      <c r="H17" s="122"/>
      <c r="I17" s="122"/>
      <c r="J17" s="175"/>
      <c r="K17" s="122"/>
      <c r="L17" s="122"/>
      <c r="M17" s="122"/>
      <c r="N17" s="122"/>
      <c r="O17" s="122"/>
      <c r="P17" s="122"/>
      <c r="Q17" s="122"/>
      <c r="R17" s="123"/>
      <c r="S17" s="123"/>
      <c r="T17" s="73">
        <v>70000</v>
      </c>
      <c r="U17" s="122"/>
      <c r="V17" s="97" t="s">
        <v>170</v>
      </c>
      <c r="W17" s="123"/>
      <c r="X17" s="92">
        <v>53.9</v>
      </c>
      <c r="Y17" s="88"/>
      <c r="Z17" s="122"/>
      <c r="AA17" s="122"/>
      <c r="AB17" s="122"/>
      <c r="AC17" s="122"/>
      <c r="AD17" s="122"/>
      <c r="AE17" s="175"/>
      <c r="AF17" s="175"/>
      <c r="AG17" s="75">
        <v>44736</v>
      </c>
      <c r="AH17" s="75">
        <v>44736</v>
      </c>
      <c r="AI17" s="77">
        <v>44727</v>
      </c>
      <c r="AJ17" s="79">
        <v>44734</v>
      </c>
      <c r="AK17" s="79">
        <v>44734</v>
      </c>
      <c r="AL17" s="92" t="s">
        <v>31</v>
      </c>
      <c r="AM17" s="73">
        <v>70000</v>
      </c>
      <c r="AN17" s="93"/>
      <c r="AO17" s="125"/>
      <c r="AP17" s="73">
        <v>69868</v>
      </c>
      <c r="AQ17" s="125"/>
      <c r="AR17" s="125"/>
      <c r="AS17" s="123"/>
      <c r="AT17" s="122"/>
      <c r="AU17" s="122"/>
      <c r="AV17" s="122"/>
      <c r="AW17" s="122"/>
      <c r="AX17" s="122"/>
      <c r="AY17" s="122"/>
      <c r="AZ17" s="176"/>
    </row>
    <row r="18" spans="1:52" s="16" customFormat="1" ht="12.75" x14ac:dyDescent="0.2">
      <c r="A18" s="72" t="s">
        <v>147</v>
      </c>
      <c r="B18" s="72" t="s">
        <v>119</v>
      </c>
      <c r="C18" s="122"/>
      <c r="D18" s="122"/>
      <c r="E18" s="122"/>
      <c r="F18" s="122"/>
      <c r="G18" s="122"/>
      <c r="H18" s="122"/>
      <c r="I18" s="122"/>
      <c r="J18" s="175"/>
      <c r="K18" s="122"/>
      <c r="L18" s="122"/>
      <c r="M18" s="122"/>
      <c r="N18" s="122"/>
      <c r="O18" s="122"/>
      <c r="P18" s="122"/>
      <c r="Q18" s="122"/>
      <c r="R18" s="123"/>
      <c r="S18" s="123"/>
      <c r="T18" s="73">
        <f>66500+15000</f>
        <v>81500</v>
      </c>
      <c r="U18" s="122"/>
      <c r="V18" s="97" t="s">
        <v>170</v>
      </c>
      <c r="W18" s="123"/>
      <c r="X18" s="92">
        <v>53.9</v>
      </c>
      <c r="Y18" s="88"/>
      <c r="Z18" s="122"/>
      <c r="AA18" s="122"/>
      <c r="AB18" s="122"/>
      <c r="AC18" s="122"/>
      <c r="AD18" s="122"/>
      <c r="AE18" s="175"/>
      <c r="AF18" s="175"/>
      <c r="AG18" s="76">
        <v>44697</v>
      </c>
      <c r="AH18" s="76">
        <v>44697</v>
      </c>
      <c r="AI18" s="77">
        <v>44784</v>
      </c>
      <c r="AJ18" s="79">
        <v>44790</v>
      </c>
      <c r="AK18" s="79">
        <v>44790</v>
      </c>
      <c r="AL18" s="92" t="s">
        <v>31</v>
      </c>
      <c r="AM18" s="73">
        <f>66500+15000</f>
        <v>81500</v>
      </c>
      <c r="AN18" s="93"/>
      <c r="AO18" s="125"/>
      <c r="AP18" s="73">
        <f>66430+14960</f>
        <v>81390</v>
      </c>
      <c r="AQ18" s="125"/>
      <c r="AR18" s="125"/>
      <c r="AS18" s="123"/>
      <c r="AT18" s="122"/>
      <c r="AU18" s="122"/>
      <c r="AV18" s="122"/>
      <c r="AW18" s="122"/>
      <c r="AX18" s="122"/>
      <c r="AY18" s="122"/>
      <c r="AZ18" s="176"/>
    </row>
    <row r="19" spans="1:52" s="16" customFormat="1" ht="12.75" x14ac:dyDescent="0.2">
      <c r="A19" s="72" t="s">
        <v>143</v>
      </c>
      <c r="B19" s="72" t="s">
        <v>128</v>
      </c>
      <c r="C19" s="122"/>
      <c r="D19" s="122"/>
      <c r="E19" s="122"/>
      <c r="F19" s="122"/>
      <c r="G19" s="122"/>
      <c r="H19" s="122"/>
      <c r="I19" s="122"/>
      <c r="J19" s="175"/>
      <c r="K19" s="122"/>
      <c r="L19" s="122"/>
      <c r="M19" s="122"/>
      <c r="N19" s="122"/>
      <c r="O19" s="122"/>
      <c r="P19" s="122"/>
      <c r="Q19" s="122"/>
      <c r="R19" s="123"/>
      <c r="S19" s="123"/>
      <c r="T19" s="73">
        <f>46650+9000+9000+5500+36000</f>
        <v>106150</v>
      </c>
      <c r="U19" s="122"/>
      <c r="V19" s="97" t="s">
        <v>170</v>
      </c>
      <c r="W19" s="123"/>
      <c r="X19" s="92">
        <v>53.9</v>
      </c>
      <c r="Y19" s="88"/>
      <c r="Z19" s="122"/>
      <c r="AA19" s="122"/>
      <c r="AB19" s="122"/>
      <c r="AC19" s="122"/>
      <c r="AD19" s="122"/>
      <c r="AE19" s="175"/>
      <c r="AF19" s="175"/>
      <c r="AG19" s="75">
        <v>44732</v>
      </c>
      <c r="AH19" s="75">
        <v>44732</v>
      </c>
      <c r="AI19" s="77">
        <v>44823</v>
      </c>
      <c r="AJ19" s="79">
        <v>44827</v>
      </c>
      <c r="AK19" s="79">
        <v>44827</v>
      </c>
      <c r="AL19" s="92" t="s">
        <v>31</v>
      </c>
      <c r="AM19" s="73">
        <f>46650+9000+9000+5500+36000</f>
        <v>106150</v>
      </c>
      <c r="AN19" s="93"/>
      <c r="AO19" s="125"/>
      <c r="AP19" s="73">
        <v>105777</v>
      </c>
      <c r="AQ19" s="125"/>
      <c r="AR19" s="125"/>
      <c r="AS19" s="123"/>
      <c r="AT19" s="122"/>
      <c r="AU19" s="122"/>
      <c r="AV19" s="122"/>
      <c r="AW19" s="122"/>
      <c r="AX19" s="122"/>
      <c r="AY19" s="122"/>
      <c r="AZ19" s="176"/>
    </row>
    <row r="20" spans="1:52" s="16" customFormat="1" ht="12.75" x14ac:dyDescent="0.2">
      <c r="A20" s="72" t="s">
        <v>146</v>
      </c>
      <c r="B20" s="72" t="s">
        <v>239</v>
      </c>
      <c r="C20" s="122"/>
      <c r="D20" s="122"/>
      <c r="E20" s="122"/>
      <c r="F20" s="122"/>
      <c r="G20" s="122"/>
      <c r="H20" s="122"/>
      <c r="I20" s="122"/>
      <c r="J20" s="175"/>
      <c r="K20" s="122"/>
      <c r="L20" s="122"/>
      <c r="M20" s="122"/>
      <c r="N20" s="122"/>
      <c r="O20" s="122"/>
      <c r="P20" s="122"/>
      <c r="Q20" s="122"/>
      <c r="R20" s="123"/>
      <c r="S20" s="123"/>
      <c r="T20" s="73">
        <v>154000</v>
      </c>
      <c r="U20" s="122"/>
      <c r="V20" s="97" t="s">
        <v>170</v>
      </c>
      <c r="W20" s="123"/>
      <c r="X20" s="92">
        <v>53.9</v>
      </c>
      <c r="Y20" s="88"/>
      <c r="Z20" s="122"/>
      <c r="AA20" s="122"/>
      <c r="AB20" s="122"/>
      <c r="AC20" s="122"/>
      <c r="AD20" s="122"/>
      <c r="AE20" s="175"/>
      <c r="AF20" s="175"/>
      <c r="AG20" s="75">
        <v>44754</v>
      </c>
      <c r="AH20" s="75">
        <v>44754</v>
      </c>
      <c r="AI20" s="77">
        <v>44813</v>
      </c>
      <c r="AJ20" s="77">
        <v>44820</v>
      </c>
      <c r="AK20" s="77">
        <v>44820</v>
      </c>
      <c r="AL20" s="92" t="s">
        <v>31</v>
      </c>
      <c r="AM20" s="73">
        <v>154000</v>
      </c>
      <c r="AN20" s="93"/>
      <c r="AO20" s="125"/>
      <c r="AP20" s="73">
        <v>153753</v>
      </c>
      <c r="AQ20" s="125"/>
      <c r="AR20" s="125"/>
      <c r="AS20" s="123"/>
      <c r="AT20" s="122"/>
      <c r="AU20" s="122"/>
      <c r="AV20" s="122"/>
      <c r="AW20" s="122"/>
      <c r="AX20" s="122"/>
      <c r="AY20" s="122"/>
      <c r="AZ20" s="176"/>
    </row>
    <row r="21" spans="1:52" s="16" customFormat="1" ht="12.75" x14ac:dyDescent="0.2">
      <c r="A21" s="72" t="s">
        <v>147</v>
      </c>
      <c r="B21" s="72" t="s">
        <v>119</v>
      </c>
      <c r="C21" s="122"/>
      <c r="D21" s="122"/>
      <c r="E21" s="122"/>
      <c r="F21" s="122"/>
      <c r="G21" s="122"/>
      <c r="H21" s="122"/>
      <c r="I21" s="122"/>
      <c r="J21" s="175"/>
      <c r="K21" s="122"/>
      <c r="L21" s="122"/>
      <c r="M21" s="122"/>
      <c r="N21" s="122"/>
      <c r="O21" s="122"/>
      <c r="P21" s="122"/>
      <c r="Q21" s="122"/>
      <c r="R21" s="123"/>
      <c r="S21" s="123"/>
      <c r="T21" s="73">
        <v>11000</v>
      </c>
      <c r="U21" s="122"/>
      <c r="V21" s="97" t="s">
        <v>170</v>
      </c>
      <c r="W21" s="123"/>
      <c r="X21" s="92">
        <v>53.9</v>
      </c>
      <c r="Y21" s="88"/>
      <c r="Z21" s="122"/>
      <c r="AA21" s="122"/>
      <c r="AB21" s="122"/>
      <c r="AC21" s="122"/>
      <c r="AD21" s="122"/>
      <c r="AE21" s="175"/>
      <c r="AF21" s="175"/>
      <c r="AG21" s="75">
        <v>44754</v>
      </c>
      <c r="AH21" s="75">
        <v>44754</v>
      </c>
      <c r="AI21" s="77">
        <v>44813</v>
      </c>
      <c r="AJ21" s="77">
        <v>44820</v>
      </c>
      <c r="AK21" s="77">
        <v>44820</v>
      </c>
      <c r="AL21" s="92" t="s">
        <v>31</v>
      </c>
      <c r="AM21" s="73">
        <v>11000</v>
      </c>
      <c r="AN21" s="93"/>
      <c r="AO21" s="125"/>
      <c r="AP21" s="73">
        <v>10855</v>
      </c>
      <c r="AQ21" s="125"/>
      <c r="AR21" s="125"/>
      <c r="AS21" s="123"/>
      <c r="AT21" s="122"/>
      <c r="AU21" s="122"/>
      <c r="AV21" s="122"/>
      <c r="AW21" s="122"/>
      <c r="AX21" s="122"/>
      <c r="AY21" s="122"/>
      <c r="AZ21" s="176"/>
    </row>
    <row r="22" spans="1:52" s="16" customFormat="1" ht="12.75" x14ac:dyDescent="0.2">
      <c r="A22" s="72" t="s">
        <v>146</v>
      </c>
      <c r="B22" s="72" t="s">
        <v>217</v>
      </c>
      <c r="C22" s="122"/>
      <c r="D22" s="122"/>
      <c r="E22" s="122"/>
      <c r="F22" s="122"/>
      <c r="G22" s="122"/>
      <c r="H22" s="122"/>
      <c r="I22" s="122"/>
      <c r="J22" s="175"/>
      <c r="K22" s="122"/>
      <c r="L22" s="122"/>
      <c r="M22" s="122"/>
      <c r="N22" s="122"/>
      <c r="O22" s="122"/>
      <c r="P22" s="122"/>
      <c r="Q22" s="122"/>
      <c r="R22" s="123"/>
      <c r="S22" s="123"/>
      <c r="T22" s="73">
        <v>90500</v>
      </c>
      <c r="U22" s="122"/>
      <c r="V22" s="97" t="s">
        <v>170</v>
      </c>
      <c r="W22" s="123"/>
      <c r="X22" s="92">
        <v>53.9</v>
      </c>
      <c r="Y22" s="88"/>
      <c r="Z22" s="122"/>
      <c r="AA22" s="122"/>
      <c r="AB22" s="122"/>
      <c r="AC22" s="122"/>
      <c r="AD22" s="122"/>
      <c r="AE22" s="175"/>
      <c r="AF22" s="175"/>
      <c r="AG22" s="75">
        <v>44832</v>
      </c>
      <c r="AH22" s="75">
        <v>44832</v>
      </c>
      <c r="AI22" s="77">
        <v>44874</v>
      </c>
      <c r="AJ22" s="77">
        <v>44881</v>
      </c>
      <c r="AK22" s="77">
        <v>44881</v>
      </c>
      <c r="AL22" s="92" t="s">
        <v>31</v>
      </c>
      <c r="AM22" s="73">
        <v>90500</v>
      </c>
      <c r="AN22" s="93"/>
      <c r="AO22" s="125"/>
      <c r="AP22" s="73">
        <v>90020</v>
      </c>
      <c r="AQ22" s="125"/>
      <c r="AR22" s="125"/>
      <c r="AS22" s="123"/>
      <c r="AT22" s="122"/>
      <c r="AU22" s="122"/>
      <c r="AV22" s="122"/>
      <c r="AW22" s="122"/>
      <c r="AX22" s="122"/>
      <c r="AY22" s="122"/>
      <c r="AZ22" s="176"/>
    </row>
    <row r="23" spans="1:52" s="16" customFormat="1" ht="12.75" x14ac:dyDescent="0.2">
      <c r="A23" s="72" t="s">
        <v>232</v>
      </c>
      <c r="B23" s="72" t="s">
        <v>159</v>
      </c>
      <c r="C23" s="122"/>
      <c r="D23" s="122"/>
      <c r="E23" s="122"/>
      <c r="F23" s="122"/>
      <c r="G23" s="122"/>
      <c r="H23" s="122"/>
      <c r="I23" s="122"/>
      <c r="J23" s="175"/>
      <c r="K23" s="122"/>
      <c r="L23" s="122"/>
      <c r="M23" s="122"/>
      <c r="N23" s="122"/>
      <c r="O23" s="122"/>
      <c r="P23" s="122"/>
      <c r="Q23" s="122"/>
      <c r="R23" s="123"/>
      <c r="S23" s="123"/>
      <c r="T23" s="73">
        <f>18000+7000+50000</f>
        <v>75000</v>
      </c>
      <c r="U23" s="122"/>
      <c r="V23" s="97" t="s">
        <v>170</v>
      </c>
      <c r="W23" s="123"/>
      <c r="X23" s="92">
        <v>53.9</v>
      </c>
      <c r="Y23" s="88"/>
      <c r="Z23" s="122"/>
      <c r="AA23" s="122"/>
      <c r="AB23" s="122"/>
      <c r="AC23" s="122"/>
      <c r="AD23" s="122"/>
      <c r="AE23" s="175"/>
      <c r="AF23" s="175"/>
      <c r="AG23" s="75">
        <v>44732</v>
      </c>
      <c r="AH23" s="75">
        <v>44732</v>
      </c>
      <c r="AI23" s="77">
        <v>44840</v>
      </c>
      <c r="AJ23" s="79">
        <v>44847</v>
      </c>
      <c r="AK23" s="79">
        <v>44847</v>
      </c>
      <c r="AL23" s="92" t="s">
        <v>31</v>
      </c>
      <c r="AM23" s="73">
        <f>18000+7000+50000</f>
        <v>75000</v>
      </c>
      <c r="AN23" s="93"/>
      <c r="AO23" s="125"/>
      <c r="AP23" s="73">
        <f>17986+6990+49984</f>
        <v>74960</v>
      </c>
      <c r="AQ23" s="125"/>
      <c r="AR23" s="125"/>
      <c r="AS23" s="123"/>
      <c r="AT23" s="122"/>
      <c r="AU23" s="122"/>
      <c r="AV23" s="122"/>
      <c r="AW23" s="122"/>
      <c r="AX23" s="122"/>
      <c r="AY23" s="122"/>
      <c r="AZ23" s="176"/>
    </row>
    <row r="24" spans="1:52" s="16" customFormat="1" ht="12.75" x14ac:dyDescent="0.2">
      <c r="A24" s="72" t="s">
        <v>257</v>
      </c>
      <c r="B24" s="72" t="s">
        <v>258</v>
      </c>
      <c r="C24" s="122"/>
      <c r="D24" s="122"/>
      <c r="E24" s="122"/>
      <c r="F24" s="122"/>
      <c r="G24" s="122"/>
      <c r="H24" s="122"/>
      <c r="I24" s="122"/>
      <c r="J24" s="175"/>
      <c r="K24" s="122"/>
      <c r="L24" s="122"/>
      <c r="M24" s="122"/>
      <c r="N24" s="122"/>
      <c r="O24" s="122"/>
      <c r="P24" s="122"/>
      <c r="Q24" s="122"/>
      <c r="R24" s="123"/>
      <c r="S24" s="123"/>
      <c r="T24" s="73">
        <v>100000</v>
      </c>
      <c r="U24" s="122"/>
      <c r="V24" s="97" t="s">
        <v>170</v>
      </c>
      <c r="W24" s="123"/>
      <c r="X24" s="92">
        <v>53.9</v>
      </c>
      <c r="Y24" s="88"/>
      <c r="Z24" s="122"/>
      <c r="AA24" s="122"/>
      <c r="AB24" s="122"/>
      <c r="AC24" s="122"/>
      <c r="AD24" s="122"/>
      <c r="AE24" s="175"/>
      <c r="AF24" s="175"/>
      <c r="AG24" s="75">
        <v>44754</v>
      </c>
      <c r="AH24" s="75">
        <v>44754</v>
      </c>
      <c r="AI24" s="77">
        <v>44890</v>
      </c>
      <c r="AJ24" s="77">
        <v>44897</v>
      </c>
      <c r="AK24" s="77">
        <v>44897</v>
      </c>
      <c r="AL24" s="92" t="s">
        <v>31</v>
      </c>
      <c r="AM24" s="73">
        <v>100000</v>
      </c>
      <c r="AN24" s="93"/>
      <c r="AO24" s="125"/>
      <c r="AP24" s="73">
        <v>99780</v>
      </c>
      <c r="AQ24" s="125"/>
      <c r="AR24" s="125"/>
      <c r="AS24" s="123"/>
      <c r="AT24" s="122"/>
      <c r="AU24" s="122"/>
      <c r="AV24" s="122"/>
      <c r="AW24" s="122"/>
      <c r="AX24" s="122"/>
      <c r="AY24" s="122"/>
      <c r="AZ24" s="176"/>
    </row>
    <row r="25" spans="1:52" s="16" customFormat="1" ht="12.75" x14ac:dyDescent="0.2">
      <c r="A25" s="72" t="s">
        <v>259</v>
      </c>
      <c r="B25" s="72" t="s">
        <v>260</v>
      </c>
      <c r="C25" s="122"/>
      <c r="D25" s="122"/>
      <c r="E25" s="122"/>
      <c r="F25" s="122"/>
      <c r="G25" s="122"/>
      <c r="H25" s="122"/>
      <c r="I25" s="122"/>
      <c r="J25" s="175"/>
      <c r="K25" s="122"/>
      <c r="L25" s="122"/>
      <c r="M25" s="122"/>
      <c r="N25" s="122"/>
      <c r="O25" s="122"/>
      <c r="P25" s="122"/>
      <c r="Q25" s="122"/>
      <c r="R25" s="123"/>
      <c r="S25" s="123"/>
      <c r="T25" s="73">
        <v>18000</v>
      </c>
      <c r="U25" s="122"/>
      <c r="V25" s="97" t="s">
        <v>170</v>
      </c>
      <c r="W25" s="123"/>
      <c r="X25" s="92">
        <v>53.9</v>
      </c>
      <c r="Y25" s="88"/>
      <c r="Z25" s="122"/>
      <c r="AA25" s="122"/>
      <c r="AB25" s="122"/>
      <c r="AC25" s="122"/>
      <c r="AD25" s="122"/>
      <c r="AE25" s="175"/>
      <c r="AF25" s="175"/>
      <c r="AG25" s="75">
        <v>44813</v>
      </c>
      <c r="AH25" s="75">
        <v>44813</v>
      </c>
      <c r="AI25" s="77">
        <v>44876</v>
      </c>
      <c r="AJ25" s="77">
        <v>44883</v>
      </c>
      <c r="AK25" s="77">
        <v>44883</v>
      </c>
      <c r="AL25" s="92" t="s">
        <v>31</v>
      </c>
      <c r="AM25" s="73">
        <v>18000</v>
      </c>
      <c r="AN25" s="93"/>
      <c r="AO25" s="125"/>
      <c r="AP25" s="73">
        <v>17940</v>
      </c>
      <c r="AQ25" s="125"/>
      <c r="AR25" s="125"/>
      <c r="AS25" s="123"/>
      <c r="AT25" s="122"/>
      <c r="AU25" s="122"/>
      <c r="AV25" s="122"/>
      <c r="AW25" s="122"/>
      <c r="AX25" s="122"/>
      <c r="AY25" s="122"/>
      <c r="AZ25" s="176"/>
    </row>
    <row r="26" spans="1:52" s="16" customFormat="1" ht="12.75" x14ac:dyDescent="0.2">
      <c r="A26" s="72" t="s">
        <v>208</v>
      </c>
      <c r="B26" s="72" t="s">
        <v>261</v>
      </c>
      <c r="C26" s="122"/>
      <c r="D26" s="122"/>
      <c r="E26" s="122"/>
      <c r="F26" s="122"/>
      <c r="G26" s="122"/>
      <c r="H26" s="122"/>
      <c r="I26" s="122"/>
      <c r="J26" s="175"/>
      <c r="K26" s="122"/>
      <c r="L26" s="122"/>
      <c r="M26" s="122"/>
      <c r="N26" s="122"/>
      <c r="O26" s="122"/>
      <c r="P26" s="122"/>
      <c r="Q26" s="122"/>
      <c r="R26" s="123"/>
      <c r="S26" s="123"/>
      <c r="T26" s="73">
        <v>50000</v>
      </c>
      <c r="U26" s="122"/>
      <c r="V26" s="97" t="s">
        <v>170</v>
      </c>
      <c r="W26" s="123"/>
      <c r="X26" s="92">
        <v>53.9</v>
      </c>
      <c r="Y26" s="88"/>
      <c r="Z26" s="122"/>
      <c r="AA26" s="122"/>
      <c r="AB26" s="122"/>
      <c r="AC26" s="122"/>
      <c r="AD26" s="122"/>
      <c r="AE26" s="175"/>
      <c r="AF26" s="175"/>
      <c r="AG26" s="75">
        <v>44813</v>
      </c>
      <c r="AH26" s="75">
        <v>44813</v>
      </c>
      <c r="AI26" s="77">
        <v>44876</v>
      </c>
      <c r="AJ26" s="77">
        <v>44883</v>
      </c>
      <c r="AK26" s="77">
        <v>44883</v>
      </c>
      <c r="AL26" s="92" t="s">
        <v>31</v>
      </c>
      <c r="AM26" s="73">
        <v>50000</v>
      </c>
      <c r="AN26" s="93"/>
      <c r="AO26" s="125"/>
      <c r="AP26" s="73">
        <v>49920</v>
      </c>
      <c r="AQ26" s="125"/>
      <c r="AR26" s="125"/>
      <c r="AS26" s="123"/>
      <c r="AT26" s="122"/>
      <c r="AU26" s="122"/>
      <c r="AV26" s="122"/>
      <c r="AW26" s="122"/>
      <c r="AX26" s="122"/>
      <c r="AY26" s="122"/>
      <c r="AZ26" s="176"/>
    </row>
    <row r="27" spans="1:52" s="16" customFormat="1" ht="12.75" x14ac:dyDescent="0.2">
      <c r="A27" s="72" t="s">
        <v>136</v>
      </c>
      <c r="B27" s="72" t="s">
        <v>206</v>
      </c>
      <c r="C27" s="122"/>
      <c r="D27" s="122"/>
      <c r="E27" s="122"/>
      <c r="F27" s="122"/>
      <c r="G27" s="122"/>
      <c r="H27" s="122"/>
      <c r="I27" s="122"/>
      <c r="J27" s="175"/>
      <c r="K27" s="122"/>
      <c r="L27" s="122"/>
      <c r="M27" s="122"/>
      <c r="N27" s="122"/>
      <c r="O27" s="122"/>
      <c r="P27" s="122"/>
      <c r="Q27" s="122"/>
      <c r="R27" s="123"/>
      <c r="S27" s="123"/>
      <c r="T27" s="73">
        <v>9000</v>
      </c>
      <c r="U27" s="122"/>
      <c r="V27" s="78" t="s">
        <v>170</v>
      </c>
      <c r="W27" s="123"/>
      <c r="X27" s="92">
        <v>53.9</v>
      </c>
      <c r="Y27" s="88"/>
      <c r="Z27" s="122"/>
      <c r="AA27" s="122"/>
      <c r="AB27" s="122"/>
      <c r="AC27" s="122"/>
      <c r="AD27" s="122"/>
      <c r="AE27" s="175"/>
      <c r="AF27" s="175"/>
      <c r="AG27" s="75">
        <v>44813</v>
      </c>
      <c r="AH27" s="75">
        <v>44813</v>
      </c>
      <c r="AI27" s="77">
        <v>44853</v>
      </c>
      <c r="AJ27" s="77">
        <v>44860</v>
      </c>
      <c r="AK27" s="77">
        <v>44860</v>
      </c>
      <c r="AL27" s="92" t="s">
        <v>31</v>
      </c>
      <c r="AM27" s="73">
        <v>9000</v>
      </c>
      <c r="AN27" s="93"/>
      <c r="AO27" s="125"/>
      <c r="AP27" s="73">
        <v>8946</v>
      </c>
      <c r="AQ27" s="125"/>
      <c r="AR27" s="125"/>
      <c r="AS27" s="123"/>
      <c r="AT27" s="122"/>
      <c r="AU27" s="122"/>
      <c r="AV27" s="122"/>
      <c r="AW27" s="122"/>
      <c r="AX27" s="122"/>
      <c r="AY27" s="122"/>
      <c r="AZ27" s="176"/>
    </row>
    <row r="28" spans="1:52" s="16" customFormat="1" ht="12.75" x14ac:dyDescent="0.2">
      <c r="A28" s="72" t="s">
        <v>150</v>
      </c>
      <c r="B28" s="72" t="s">
        <v>188</v>
      </c>
      <c r="C28" s="122"/>
      <c r="D28" s="122"/>
      <c r="E28" s="122"/>
      <c r="F28" s="122"/>
      <c r="G28" s="122"/>
      <c r="H28" s="122"/>
      <c r="I28" s="122"/>
      <c r="J28" s="175"/>
      <c r="K28" s="122"/>
      <c r="L28" s="122"/>
      <c r="M28" s="122"/>
      <c r="N28" s="122"/>
      <c r="O28" s="122"/>
      <c r="P28" s="122"/>
      <c r="Q28" s="122"/>
      <c r="R28" s="123"/>
      <c r="S28" s="123"/>
      <c r="T28" s="73">
        <v>9000</v>
      </c>
      <c r="U28" s="122"/>
      <c r="V28" s="78" t="s">
        <v>170</v>
      </c>
      <c r="W28" s="123"/>
      <c r="X28" s="92">
        <v>53.9</v>
      </c>
      <c r="Y28" s="88"/>
      <c r="Z28" s="122"/>
      <c r="AA28" s="122"/>
      <c r="AB28" s="122"/>
      <c r="AC28" s="122"/>
      <c r="AD28" s="122"/>
      <c r="AE28" s="175"/>
      <c r="AF28" s="175"/>
      <c r="AG28" s="75">
        <v>44813</v>
      </c>
      <c r="AH28" s="75">
        <v>44813</v>
      </c>
      <c r="AI28" s="77">
        <v>44853</v>
      </c>
      <c r="AJ28" s="77">
        <v>44860</v>
      </c>
      <c r="AK28" s="77">
        <v>44860</v>
      </c>
      <c r="AL28" s="92" t="s">
        <v>31</v>
      </c>
      <c r="AM28" s="73">
        <v>9000</v>
      </c>
      <c r="AN28" s="93"/>
      <c r="AO28" s="125"/>
      <c r="AP28" s="73">
        <v>8964</v>
      </c>
      <c r="AQ28" s="125"/>
      <c r="AR28" s="125"/>
      <c r="AS28" s="123"/>
      <c r="AT28" s="122"/>
      <c r="AU28" s="122"/>
      <c r="AV28" s="122"/>
      <c r="AW28" s="122"/>
      <c r="AX28" s="122"/>
      <c r="AY28" s="122"/>
      <c r="AZ28" s="176"/>
    </row>
    <row r="29" spans="1:52" s="16" customFormat="1" ht="12.75" x14ac:dyDescent="0.2">
      <c r="A29" s="72" t="s">
        <v>141</v>
      </c>
      <c r="B29" s="72" t="s">
        <v>262</v>
      </c>
      <c r="C29" s="122"/>
      <c r="D29" s="122"/>
      <c r="E29" s="122"/>
      <c r="F29" s="122"/>
      <c r="G29" s="122"/>
      <c r="H29" s="122"/>
      <c r="I29" s="122"/>
      <c r="J29" s="175"/>
      <c r="K29" s="122"/>
      <c r="L29" s="122"/>
      <c r="M29" s="122"/>
      <c r="N29" s="122"/>
      <c r="O29" s="122"/>
      <c r="P29" s="122"/>
      <c r="Q29" s="122"/>
      <c r="R29" s="123"/>
      <c r="S29" s="123"/>
      <c r="T29" s="73">
        <v>11500</v>
      </c>
      <c r="U29" s="122"/>
      <c r="V29" s="97" t="s">
        <v>170</v>
      </c>
      <c r="W29" s="123"/>
      <c r="X29" s="92">
        <v>53.9</v>
      </c>
      <c r="Y29" s="88"/>
      <c r="Z29" s="122"/>
      <c r="AA29" s="122"/>
      <c r="AB29" s="122"/>
      <c r="AC29" s="122"/>
      <c r="AD29" s="122"/>
      <c r="AE29" s="175"/>
      <c r="AF29" s="175"/>
      <c r="AG29" s="75">
        <v>44813</v>
      </c>
      <c r="AH29" s="75">
        <v>44813</v>
      </c>
      <c r="AI29" s="77">
        <v>44888</v>
      </c>
      <c r="AJ29" s="77">
        <v>44894</v>
      </c>
      <c r="AK29" s="77">
        <v>44894</v>
      </c>
      <c r="AL29" s="92" t="s">
        <v>31</v>
      </c>
      <c r="AM29" s="73">
        <v>11500</v>
      </c>
      <c r="AN29" s="93"/>
      <c r="AO29" s="125"/>
      <c r="AP29" s="73">
        <v>11430</v>
      </c>
      <c r="AQ29" s="125"/>
      <c r="AR29" s="125"/>
      <c r="AS29" s="123"/>
      <c r="AT29" s="122"/>
      <c r="AU29" s="122"/>
      <c r="AV29" s="122"/>
      <c r="AW29" s="122"/>
      <c r="AX29" s="122"/>
      <c r="AY29" s="122"/>
      <c r="AZ29" s="176"/>
    </row>
    <row r="30" spans="1:52" s="16" customFormat="1" ht="12.75" x14ac:dyDescent="0.2">
      <c r="A30" s="72" t="s">
        <v>257</v>
      </c>
      <c r="B30" s="72" t="s">
        <v>263</v>
      </c>
      <c r="C30" s="122"/>
      <c r="D30" s="122"/>
      <c r="E30" s="122"/>
      <c r="F30" s="122"/>
      <c r="G30" s="122"/>
      <c r="H30" s="122"/>
      <c r="I30" s="122"/>
      <c r="J30" s="175"/>
      <c r="K30" s="122"/>
      <c r="L30" s="122"/>
      <c r="M30" s="122"/>
      <c r="N30" s="122"/>
      <c r="O30" s="122"/>
      <c r="P30" s="122"/>
      <c r="Q30" s="122"/>
      <c r="R30" s="123"/>
      <c r="S30" s="123"/>
      <c r="T30" s="73">
        <v>30000</v>
      </c>
      <c r="U30" s="122"/>
      <c r="V30" s="97" t="s">
        <v>170</v>
      </c>
      <c r="W30" s="123"/>
      <c r="X30" s="92">
        <v>53.9</v>
      </c>
      <c r="Y30" s="88"/>
      <c r="Z30" s="122"/>
      <c r="AA30" s="122"/>
      <c r="AB30" s="122"/>
      <c r="AC30" s="122"/>
      <c r="AD30" s="122"/>
      <c r="AE30" s="175"/>
      <c r="AF30" s="175"/>
      <c r="AG30" s="75">
        <v>44832</v>
      </c>
      <c r="AH30" s="75">
        <v>44832</v>
      </c>
      <c r="AI30" s="77">
        <v>44887</v>
      </c>
      <c r="AJ30" s="77">
        <v>44894</v>
      </c>
      <c r="AK30" s="77">
        <v>44894</v>
      </c>
      <c r="AL30" s="92" t="s">
        <v>31</v>
      </c>
      <c r="AM30" s="73">
        <v>30000</v>
      </c>
      <c r="AN30" s="93"/>
      <c r="AO30" s="125"/>
      <c r="AP30" s="73">
        <v>29415</v>
      </c>
      <c r="AQ30" s="125"/>
      <c r="AR30" s="125"/>
      <c r="AS30" s="123"/>
      <c r="AT30" s="122"/>
      <c r="AU30" s="122"/>
      <c r="AV30" s="122"/>
      <c r="AW30" s="122"/>
      <c r="AX30" s="122"/>
      <c r="AY30" s="122"/>
      <c r="AZ30" s="176"/>
    </row>
    <row r="31" spans="1:52" s="16" customFormat="1" ht="12.75" x14ac:dyDescent="0.2">
      <c r="A31" s="72" t="s">
        <v>147</v>
      </c>
      <c r="B31" s="72" t="s">
        <v>119</v>
      </c>
      <c r="C31" s="122"/>
      <c r="D31" s="122"/>
      <c r="E31" s="122"/>
      <c r="F31" s="122"/>
      <c r="G31" s="122"/>
      <c r="H31" s="122"/>
      <c r="I31" s="122"/>
      <c r="J31" s="175"/>
      <c r="K31" s="122"/>
      <c r="L31" s="122"/>
      <c r="M31" s="122"/>
      <c r="N31" s="122"/>
      <c r="O31" s="122"/>
      <c r="P31" s="122"/>
      <c r="Q31" s="122"/>
      <c r="R31" s="123"/>
      <c r="S31" s="123"/>
      <c r="T31" s="73">
        <v>6500</v>
      </c>
      <c r="U31" s="122"/>
      <c r="V31" s="97" t="s">
        <v>170</v>
      </c>
      <c r="W31" s="123"/>
      <c r="X31" s="92">
        <v>53.9</v>
      </c>
      <c r="Y31" s="88"/>
      <c r="Z31" s="122"/>
      <c r="AA31" s="122"/>
      <c r="AB31" s="122"/>
      <c r="AC31" s="122"/>
      <c r="AD31" s="122"/>
      <c r="AE31" s="175"/>
      <c r="AF31" s="175"/>
      <c r="AG31" s="75">
        <v>44816</v>
      </c>
      <c r="AH31" s="75">
        <v>44816</v>
      </c>
      <c r="AI31" s="77">
        <v>44881</v>
      </c>
      <c r="AJ31" s="77">
        <v>44887</v>
      </c>
      <c r="AK31" s="77">
        <v>44887</v>
      </c>
      <c r="AL31" s="92" t="s">
        <v>31</v>
      </c>
      <c r="AM31" s="73">
        <v>6500</v>
      </c>
      <c r="AN31" s="93"/>
      <c r="AO31" s="125"/>
      <c r="AP31" s="73">
        <v>6380</v>
      </c>
      <c r="AQ31" s="125"/>
      <c r="AR31" s="125"/>
      <c r="AS31" s="123"/>
      <c r="AT31" s="122"/>
      <c r="AU31" s="122"/>
      <c r="AV31" s="122"/>
      <c r="AW31" s="122"/>
      <c r="AX31" s="122"/>
      <c r="AY31" s="122"/>
      <c r="AZ31" s="176"/>
    </row>
    <row r="32" spans="1:52" s="16" customFormat="1" x14ac:dyDescent="0.2">
      <c r="A32" s="72" t="s">
        <v>150</v>
      </c>
      <c r="B32" s="72" t="s">
        <v>122</v>
      </c>
      <c r="C32" s="122"/>
      <c r="D32" s="122"/>
      <c r="E32" s="122"/>
      <c r="F32" s="122"/>
      <c r="G32" s="122"/>
      <c r="H32" s="122"/>
      <c r="I32" s="122"/>
      <c r="J32" s="175"/>
      <c r="K32" s="122"/>
      <c r="L32" s="122"/>
      <c r="M32" s="122"/>
      <c r="N32" s="122"/>
      <c r="O32" s="122"/>
      <c r="P32" s="122"/>
      <c r="Q32" s="122"/>
      <c r="R32" s="123"/>
      <c r="S32" s="123"/>
      <c r="T32" s="73">
        <f>10500+19500</f>
        <v>30000</v>
      </c>
      <c r="U32" s="122"/>
      <c r="V32" s="97" t="s">
        <v>169</v>
      </c>
      <c r="W32" s="123"/>
      <c r="X32" s="92">
        <v>53.9</v>
      </c>
      <c r="Y32" s="88"/>
      <c r="Z32" s="122"/>
      <c r="AA32" s="122"/>
      <c r="AB32" s="122"/>
      <c r="AC32" s="122"/>
      <c r="AD32" s="122"/>
      <c r="AE32" s="175"/>
      <c r="AF32" s="175"/>
      <c r="AG32" s="177">
        <v>44656</v>
      </c>
      <c r="AH32" s="177">
        <v>44656</v>
      </c>
      <c r="AI32" s="77">
        <v>44670</v>
      </c>
      <c r="AJ32" s="79">
        <v>44678</v>
      </c>
      <c r="AK32" s="79">
        <v>44678</v>
      </c>
      <c r="AL32" s="92" t="s">
        <v>31</v>
      </c>
      <c r="AM32" s="73">
        <f>10500+19500</f>
        <v>30000</v>
      </c>
      <c r="AN32" s="93"/>
      <c r="AO32" s="125"/>
      <c r="AP32" s="73">
        <f>10458+19382</f>
        <v>29840</v>
      </c>
      <c r="AQ32" s="125"/>
      <c r="AR32" s="125"/>
      <c r="AS32" s="123"/>
      <c r="AT32" s="122"/>
      <c r="AU32" s="122"/>
      <c r="AV32" s="122"/>
      <c r="AW32" s="122"/>
      <c r="AX32" s="122"/>
      <c r="AY32" s="122"/>
      <c r="AZ32" s="176"/>
    </row>
    <row r="33" spans="1:52" s="16" customFormat="1" ht="12.75" x14ac:dyDescent="0.2">
      <c r="A33" s="72" t="s">
        <v>146</v>
      </c>
      <c r="B33" s="72" t="s">
        <v>121</v>
      </c>
      <c r="C33" s="122"/>
      <c r="D33" s="122"/>
      <c r="E33" s="122"/>
      <c r="F33" s="122"/>
      <c r="G33" s="122"/>
      <c r="H33" s="122"/>
      <c r="I33" s="122"/>
      <c r="J33" s="175"/>
      <c r="K33" s="122"/>
      <c r="L33" s="122"/>
      <c r="M33" s="122"/>
      <c r="N33" s="122"/>
      <c r="O33" s="122"/>
      <c r="P33" s="122"/>
      <c r="Q33" s="122"/>
      <c r="R33" s="123"/>
      <c r="S33" s="123"/>
      <c r="T33" s="73">
        <v>24000</v>
      </c>
      <c r="U33" s="122"/>
      <c r="V33" s="97" t="s">
        <v>169</v>
      </c>
      <c r="W33" s="123"/>
      <c r="X33" s="92">
        <v>53.9</v>
      </c>
      <c r="Y33" s="88"/>
      <c r="Z33" s="122"/>
      <c r="AA33" s="122"/>
      <c r="AB33" s="122"/>
      <c r="AC33" s="122"/>
      <c r="AD33" s="122"/>
      <c r="AE33" s="175"/>
      <c r="AF33" s="175"/>
      <c r="AG33" s="75">
        <v>44685</v>
      </c>
      <c r="AH33" s="75">
        <v>44685</v>
      </c>
      <c r="AI33" s="77">
        <v>44711</v>
      </c>
      <c r="AJ33" s="79">
        <v>44718</v>
      </c>
      <c r="AK33" s="79">
        <v>44718</v>
      </c>
      <c r="AL33" s="92" t="s">
        <v>31</v>
      </c>
      <c r="AM33" s="73">
        <v>24000</v>
      </c>
      <c r="AN33" s="93"/>
      <c r="AO33" s="125"/>
      <c r="AP33" s="73">
        <v>23710</v>
      </c>
      <c r="AQ33" s="125"/>
      <c r="AR33" s="125"/>
      <c r="AS33" s="123"/>
      <c r="AT33" s="122"/>
      <c r="AU33" s="122"/>
      <c r="AV33" s="122"/>
      <c r="AW33" s="122"/>
      <c r="AX33" s="122"/>
      <c r="AY33" s="122"/>
      <c r="AZ33" s="176"/>
    </row>
    <row r="34" spans="1:52" s="16" customFormat="1" ht="12.75" x14ac:dyDescent="0.2">
      <c r="A34" s="72" t="s">
        <v>146</v>
      </c>
      <c r="B34" s="72" t="s">
        <v>121</v>
      </c>
      <c r="C34" s="122"/>
      <c r="D34" s="122"/>
      <c r="E34" s="122"/>
      <c r="F34" s="122"/>
      <c r="G34" s="122"/>
      <c r="H34" s="122"/>
      <c r="I34" s="122"/>
      <c r="J34" s="175"/>
      <c r="K34" s="122"/>
      <c r="L34" s="122"/>
      <c r="M34" s="122"/>
      <c r="N34" s="122"/>
      <c r="O34" s="122"/>
      <c r="P34" s="122"/>
      <c r="Q34" s="122"/>
      <c r="R34" s="123"/>
      <c r="S34" s="123"/>
      <c r="T34" s="73">
        <f>194000+70000</f>
        <v>264000</v>
      </c>
      <c r="U34" s="122"/>
      <c r="V34" s="97" t="s">
        <v>169</v>
      </c>
      <c r="W34" s="123"/>
      <c r="X34" s="92">
        <v>53.9</v>
      </c>
      <c r="Y34" s="88"/>
      <c r="Z34" s="122"/>
      <c r="AA34" s="122"/>
      <c r="AB34" s="122"/>
      <c r="AC34" s="122"/>
      <c r="AD34" s="122"/>
      <c r="AE34" s="175"/>
      <c r="AF34" s="175"/>
      <c r="AG34" s="75">
        <v>44613</v>
      </c>
      <c r="AH34" s="75">
        <v>44613</v>
      </c>
      <c r="AI34" s="77">
        <v>44658</v>
      </c>
      <c r="AJ34" s="79">
        <v>44663</v>
      </c>
      <c r="AK34" s="79">
        <v>44663</v>
      </c>
      <c r="AL34" s="92" t="s">
        <v>31</v>
      </c>
      <c r="AM34" s="73">
        <f>194000+70000</f>
        <v>264000</v>
      </c>
      <c r="AN34" s="93"/>
      <c r="AO34" s="125"/>
      <c r="AP34" s="73">
        <f>192650+69650</f>
        <v>262300</v>
      </c>
      <c r="AQ34" s="125"/>
      <c r="AR34" s="125"/>
      <c r="AS34" s="123"/>
      <c r="AT34" s="122"/>
      <c r="AU34" s="122"/>
      <c r="AV34" s="122"/>
      <c r="AW34" s="122"/>
      <c r="AX34" s="122"/>
      <c r="AY34" s="122"/>
      <c r="AZ34" s="176"/>
    </row>
    <row r="35" spans="1:52" s="16" customFormat="1" ht="12.75" x14ac:dyDescent="0.2">
      <c r="A35" s="72" t="s">
        <v>142</v>
      </c>
      <c r="B35" s="153" t="s">
        <v>214</v>
      </c>
      <c r="C35" s="122"/>
      <c r="D35" s="122"/>
      <c r="E35" s="122"/>
      <c r="F35" s="122"/>
      <c r="G35" s="122"/>
      <c r="H35" s="122"/>
      <c r="I35" s="122"/>
      <c r="J35" s="175"/>
      <c r="K35" s="122"/>
      <c r="L35" s="122"/>
      <c r="M35" s="122"/>
      <c r="N35" s="122"/>
      <c r="O35" s="122"/>
      <c r="P35" s="122"/>
      <c r="Q35" s="122"/>
      <c r="R35" s="123"/>
      <c r="S35" s="123"/>
      <c r="T35" s="73">
        <f>19500+10500</f>
        <v>30000</v>
      </c>
      <c r="U35" s="122"/>
      <c r="V35" s="97" t="s">
        <v>169</v>
      </c>
      <c r="W35" s="123"/>
      <c r="X35" s="92">
        <v>53.9</v>
      </c>
      <c r="Y35" s="88"/>
      <c r="Z35" s="122"/>
      <c r="AA35" s="122"/>
      <c r="AB35" s="122"/>
      <c r="AC35" s="122"/>
      <c r="AD35" s="122"/>
      <c r="AE35" s="175"/>
      <c r="AF35" s="175"/>
      <c r="AG35" s="76">
        <v>44755</v>
      </c>
      <c r="AH35" s="76">
        <v>44755</v>
      </c>
      <c r="AI35" s="77">
        <v>44796</v>
      </c>
      <c r="AJ35" s="77">
        <v>44803</v>
      </c>
      <c r="AK35" s="77">
        <v>44803</v>
      </c>
      <c r="AL35" s="92" t="s">
        <v>31</v>
      </c>
      <c r="AM35" s="73">
        <f>19500+10500</f>
        <v>30000</v>
      </c>
      <c r="AN35" s="93"/>
      <c r="AO35" s="125"/>
      <c r="AP35" s="73">
        <v>29864</v>
      </c>
      <c r="AQ35" s="125"/>
      <c r="AR35" s="125"/>
      <c r="AS35" s="123"/>
      <c r="AT35" s="122"/>
      <c r="AU35" s="122"/>
      <c r="AV35" s="122"/>
      <c r="AW35" s="122"/>
      <c r="AX35" s="122"/>
      <c r="AY35" s="122"/>
      <c r="AZ35" s="176"/>
    </row>
    <row r="36" spans="1:52" s="16" customFormat="1" ht="12.75" x14ac:dyDescent="0.2">
      <c r="A36" s="72" t="s">
        <v>146</v>
      </c>
      <c r="B36" s="153" t="s">
        <v>235</v>
      </c>
      <c r="C36" s="122"/>
      <c r="D36" s="122"/>
      <c r="E36" s="122"/>
      <c r="F36" s="122"/>
      <c r="G36" s="122"/>
      <c r="H36" s="122"/>
      <c r="I36" s="122"/>
      <c r="J36" s="175"/>
      <c r="K36" s="122"/>
      <c r="L36" s="122"/>
      <c r="M36" s="122"/>
      <c r="N36" s="122"/>
      <c r="O36" s="122"/>
      <c r="P36" s="122"/>
      <c r="Q36" s="122"/>
      <c r="R36" s="123"/>
      <c r="S36" s="123"/>
      <c r="T36" s="73">
        <v>156000</v>
      </c>
      <c r="U36" s="122"/>
      <c r="V36" s="97" t="s">
        <v>169</v>
      </c>
      <c r="W36" s="123"/>
      <c r="X36" s="92">
        <v>53.9</v>
      </c>
      <c r="Y36" s="88"/>
      <c r="Z36" s="122"/>
      <c r="AA36" s="122"/>
      <c r="AB36" s="122"/>
      <c r="AC36" s="122"/>
      <c r="AD36" s="122"/>
      <c r="AE36" s="175"/>
      <c r="AF36" s="175"/>
      <c r="AG36" s="76">
        <v>44768</v>
      </c>
      <c r="AH36" s="76">
        <v>44768</v>
      </c>
      <c r="AI36" s="77">
        <v>44838</v>
      </c>
      <c r="AJ36" s="77">
        <v>44845</v>
      </c>
      <c r="AK36" s="77">
        <v>44845</v>
      </c>
      <c r="AL36" s="92" t="s">
        <v>31</v>
      </c>
      <c r="AM36" s="73">
        <v>156000</v>
      </c>
      <c r="AN36" s="93"/>
      <c r="AO36" s="125"/>
      <c r="AP36" s="73">
        <v>155134</v>
      </c>
      <c r="AQ36" s="125"/>
      <c r="AR36" s="125"/>
      <c r="AS36" s="123"/>
      <c r="AT36" s="122"/>
      <c r="AU36" s="122"/>
      <c r="AV36" s="122"/>
      <c r="AW36" s="122"/>
      <c r="AX36" s="122"/>
      <c r="AY36" s="122"/>
      <c r="AZ36" s="176"/>
    </row>
    <row r="37" spans="1:52" s="16" customFormat="1" ht="12.75" x14ac:dyDescent="0.2">
      <c r="A37" s="72" t="s">
        <v>264</v>
      </c>
      <c r="B37" s="72" t="s">
        <v>243</v>
      </c>
      <c r="C37" s="122"/>
      <c r="D37" s="122"/>
      <c r="E37" s="122"/>
      <c r="F37" s="122"/>
      <c r="G37" s="122"/>
      <c r="H37" s="122"/>
      <c r="I37" s="122"/>
      <c r="J37" s="175"/>
      <c r="K37" s="122"/>
      <c r="L37" s="122"/>
      <c r="M37" s="122"/>
      <c r="N37" s="122"/>
      <c r="O37" s="122"/>
      <c r="P37" s="122"/>
      <c r="Q37" s="122"/>
      <c r="R37" s="123"/>
      <c r="S37" s="123"/>
      <c r="T37" s="73">
        <v>65000</v>
      </c>
      <c r="U37" s="122"/>
      <c r="V37" s="165" t="s">
        <v>169</v>
      </c>
      <c r="W37" s="123"/>
      <c r="X37" s="92">
        <v>53.9</v>
      </c>
      <c r="Y37" s="88"/>
      <c r="Z37" s="122"/>
      <c r="AA37" s="122"/>
      <c r="AB37" s="122"/>
      <c r="AC37" s="122"/>
      <c r="AD37" s="122"/>
      <c r="AE37" s="175"/>
      <c r="AF37" s="175"/>
      <c r="AG37" s="75">
        <v>44834</v>
      </c>
      <c r="AH37" s="75">
        <v>44834</v>
      </c>
      <c r="AI37" s="77">
        <v>44884</v>
      </c>
      <c r="AJ37" s="77">
        <v>44887</v>
      </c>
      <c r="AK37" s="77">
        <v>44887</v>
      </c>
      <c r="AL37" s="92" t="s">
        <v>31</v>
      </c>
      <c r="AM37" s="73">
        <v>65000</v>
      </c>
      <c r="AN37" s="93"/>
      <c r="AO37" s="125"/>
      <c r="AP37" s="73">
        <v>63794</v>
      </c>
      <c r="AQ37" s="125"/>
      <c r="AR37" s="125"/>
      <c r="AS37" s="123"/>
      <c r="AT37" s="122"/>
      <c r="AU37" s="122"/>
      <c r="AV37" s="122"/>
      <c r="AW37" s="122"/>
      <c r="AX37" s="122"/>
      <c r="AY37" s="122"/>
      <c r="AZ37" s="176"/>
    </row>
    <row r="38" spans="1:52" s="16" customFormat="1" ht="12.75" x14ac:dyDescent="0.2">
      <c r="A38" s="72" t="s">
        <v>143</v>
      </c>
      <c r="B38" s="153" t="s">
        <v>117</v>
      </c>
      <c r="C38" s="122"/>
      <c r="D38" s="122"/>
      <c r="E38" s="122"/>
      <c r="F38" s="122"/>
      <c r="G38" s="122"/>
      <c r="H38" s="122"/>
      <c r="I38" s="122"/>
      <c r="J38" s="175"/>
      <c r="K38" s="122"/>
      <c r="L38" s="122"/>
      <c r="M38" s="122"/>
      <c r="N38" s="122"/>
      <c r="O38" s="122"/>
      <c r="P38" s="122"/>
      <c r="Q38" s="122"/>
      <c r="R38" s="123"/>
      <c r="S38" s="123"/>
      <c r="T38" s="73">
        <v>252000</v>
      </c>
      <c r="U38" s="122"/>
      <c r="V38" s="97" t="s">
        <v>169</v>
      </c>
      <c r="W38" s="123"/>
      <c r="X38" s="92">
        <v>53.9</v>
      </c>
      <c r="Y38" s="88"/>
      <c r="Z38" s="122"/>
      <c r="AA38" s="122"/>
      <c r="AB38" s="122"/>
      <c r="AC38" s="122"/>
      <c r="AD38" s="122"/>
      <c r="AE38" s="175"/>
      <c r="AF38" s="175"/>
      <c r="AG38" s="75">
        <v>44770</v>
      </c>
      <c r="AH38" s="75">
        <v>44770</v>
      </c>
      <c r="AI38" s="77">
        <v>44848</v>
      </c>
      <c r="AJ38" s="77">
        <v>44854</v>
      </c>
      <c r="AK38" s="77">
        <v>44854</v>
      </c>
      <c r="AL38" s="92" t="s">
        <v>31</v>
      </c>
      <c r="AM38" s="73">
        <v>252000</v>
      </c>
      <c r="AN38" s="93"/>
      <c r="AO38" s="125"/>
      <c r="AP38" s="73">
        <v>250270</v>
      </c>
      <c r="AQ38" s="125"/>
      <c r="AR38" s="125"/>
      <c r="AS38" s="123"/>
      <c r="AT38" s="122"/>
      <c r="AU38" s="122"/>
      <c r="AV38" s="122"/>
      <c r="AW38" s="122"/>
      <c r="AX38" s="122"/>
      <c r="AY38" s="122"/>
      <c r="AZ38" s="176"/>
    </row>
    <row r="39" spans="1:52" s="16" customFormat="1" ht="12.75" x14ac:dyDescent="0.2">
      <c r="A39" s="72" t="s">
        <v>145</v>
      </c>
      <c r="B39" s="153" t="s">
        <v>118</v>
      </c>
      <c r="C39" s="122"/>
      <c r="D39" s="122"/>
      <c r="E39" s="122"/>
      <c r="F39" s="122"/>
      <c r="G39" s="122"/>
      <c r="H39" s="122"/>
      <c r="I39" s="122"/>
      <c r="J39" s="175"/>
      <c r="K39" s="122"/>
      <c r="L39" s="122"/>
      <c r="M39" s="122"/>
      <c r="N39" s="122"/>
      <c r="O39" s="122"/>
      <c r="P39" s="122"/>
      <c r="Q39" s="122"/>
      <c r="R39" s="123"/>
      <c r="S39" s="123"/>
      <c r="T39" s="73">
        <v>140000</v>
      </c>
      <c r="U39" s="122"/>
      <c r="V39" s="97" t="s">
        <v>169</v>
      </c>
      <c r="W39" s="123"/>
      <c r="X39" s="92">
        <v>53.9</v>
      </c>
      <c r="Y39" s="88"/>
      <c r="Z39" s="122"/>
      <c r="AA39" s="122"/>
      <c r="AB39" s="122"/>
      <c r="AC39" s="122"/>
      <c r="AD39" s="122"/>
      <c r="AE39" s="175"/>
      <c r="AF39" s="175"/>
      <c r="AG39" s="75">
        <v>44768</v>
      </c>
      <c r="AH39" s="75">
        <v>44768</v>
      </c>
      <c r="AI39" s="77">
        <v>44868</v>
      </c>
      <c r="AJ39" s="77">
        <v>44872</v>
      </c>
      <c r="AK39" s="77">
        <v>44872</v>
      </c>
      <c r="AL39" s="92" t="s">
        <v>31</v>
      </c>
      <c r="AM39" s="73">
        <v>140000</v>
      </c>
      <c r="AN39" s="93"/>
      <c r="AO39" s="125"/>
      <c r="AP39" s="73">
        <f>67557+67557</f>
        <v>135114</v>
      </c>
      <c r="AQ39" s="125"/>
      <c r="AR39" s="125"/>
      <c r="AS39" s="123"/>
      <c r="AT39" s="122"/>
      <c r="AU39" s="122"/>
      <c r="AV39" s="122"/>
      <c r="AW39" s="122"/>
      <c r="AX39" s="122"/>
      <c r="AY39" s="122"/>
      <c r="AZ39" s="176"/>
    </row>
    <row r="40" spans="1:52" s="16" customFormat="1" ht="12.75" x14ac:dyDescent="0.2">
      <c r="A40" s="72" t="s">
        <v>152</v>
      </c>
      <c r="B40" s="72" t="s">
        <v>129</v>
      </c>
      <c r="C40" s="122"/>
      <c r="D40" s="122"/>
      <c r="E40" s="122"/>
      <c r="F40" s="122"/>
      <c r="G40" s="122"/>
      <c r="H40" s="122"/>
      <c r="I40" s="122"/>
      <c r="J40" s="175"/>
      <c r="K40" s="122"/>
      <c r="L40" s="122"/>
      <c r="M40" s="122"/>
      <c r="N40" s="122"/>
      <c r="O40" s="122"/>
      <c r="P40" s="122"/>
      <c r="Q40" s="122"/>
      <c r="R40" s="123"/>
      <c r="S40" s="123"/>
      <c r="T40" s="73">
        <f>2129+3000</f>
        <v>5129</v>
      </c>
      <c r="U40" s="122"/>
      <c r="V40" s="97" t="s">
        <v>171</v>
      </c>
      <c r="W40" s="123"/>
      <c r="X40" s="92">
        <v>53.9</v>
      </c>
      <c r="Y40" s="88"/>
      <c r="Z40" s="122"/>
      <c r="AA40" s="122"/>
      <c r="AB40" s="122"/>
      <c r="AC40" s="122"/>
      <c r="AD40" s="122"/>
      <c r="AE40" s="175"/>
      <c r="AF40" s="175"/>
      <c r="AG40" s="75">
        <v>44714</v>
      </c>
      <c r="AH40" s="75">
        <v>44714</v>
      </c>
      <c r="AI40" s="77">
        <v>44767</v>
      </c>
      <c r="AJ40" s="79">
        <v>44771</v>
      </c>
      <c r="AK40" s="79">
        <v>44771</v>
      </c>
      <c r="AL40" s="92" t="s">
        <v>31</v>
      </c>
      <c r="AM40" s="73">
        <f>2129+3000</f>
        <v>5129</v>
      </c>
      <c r="AN40" s="93"/>
      <c r="AO40" s="125"/>
      <c r="AP40" s="73">
        <v>4700</v>
      </c>
      <c r="AQ40" s="125"/>
      <c r="AR40" s="125"/>
      <c r="AS40" s="123"/>
      <c r="AT40" s="122"/>
      <c r="AU40" s="122"/>
      <c r="AV40" s="122"/>
      <c r="AW40" s="122"/>
      <c r="AX40" s="122"/>
      <c r="AY40" s="122"/>
      <c r="AZ40" s="176"/>
    </row>
    <row r="41" spans="1:52" s="16" customFormat="1" ht="12.75" x14ac:dyDescent="0.2">
      <c r="A41" s="72" t="s">
        <v>142</v>
      </c>
      <c r="B41" s="146" t="s">
        <v>116</v>
      </c>
      <c r="C41" s="122"/>
      <c r="D41" s="122"/>
      <c r="E41" s="122"/>
      <c r="F41" s="122"/>
      <c r="G41" s="122"/>
      <c r="H41" s="122"/>
      <c r="I41" s="122"/>
      <c r="J41" s="175"/>
      <c r="K41" s="122"/>
      <c r="L41" s="122"/>
      <c r="M41" s="122"/>
      <c r="N41" s="122"/>
      <c r="O41" s="122"/>
      <c r="P41" s="122"/>
      <c r="Q41" s="122"/>
      <c r="R41" s="123"/>
      <c r="S41" s="123"/>
      <c r="T41" s="73">
        <f>1500+9750+3750</f>
        <v>15000</v>
      </c>
      <c r="U41" s="122"/>
      <c r="V41" s="97" t="s">
        <v>171</v>
      </c>
      <c r="W41" s="123"/>
      <c r="X41" s="92">
        <v>53.9</v>
      </c>
      <c r="Y41" s="88"/>
      <c r="Z41" s="122"/>
      <c r="AA41" s="122"/>
      <c r="AB41" s="122"/>
      <c r="AC41" s="122"/>
      <c r="AD41" s="122"/>
      <c r="AE41" s="175"/>
      <c r="AF41" s="175"/>
      <c r="AG41" s="75">
        <v>44687</v>
      </c>
      <c r="AH41" s="75">
        <v>44687</v>
      </c>
      <c r="AI41" s="77">
        <v>44777</v>
      </c>
      <c r="AJ41" s="79">
        <v>44784</v>
      </c>
      <c r="AK41" s="79">
        <v>44784</v>
      </c>
      <c r="AL41" s="92" t="s">
        <v>31</v>
      </c>
      <c r="AM41" s="73">
        <f>1500+9750+3750</f>
        <v>15000</v>
      </c>
      <c r="AN41" s="93"/>
      <c r="AO41" s="125"/>
      <c r="AP41" s="73">
        <v>14460</v>
      </c>
      <c r="AQ41" s="125"/>
      <c r="AR41" s="125"/>
      <c r="AS41" s="123"/>
      <c r="AT41" s="122"/>
      <c r="AU41" s="122"/>
      <c r="AV41" s="122"/>
      <c r="AW41" s="122"/>
      <c r="AX41" s="122"/>
      <c r="AY41" s="122"/>
      <c r="AZ41" s="176"/>
    </row>
    <row r="42" spans="1:52" s="16" customFormat="1" ht="12.75" x14ac:dyDescent="0.2">
      <c r="A42" s="72" t="s">
        <v>142</v>
      </c>
      <c r="B42" s="146" t="s">
        <v>116</v>
      </c>
      <c r="C42" s="122"/>
      <c r="D42" s="122"/>
      <c r="E42" s="122"/>
      <c r="F42" s="122"/>
      <c r="G42" s="122"/>
      <c r="H42" s="122"/>
      <c r="I42" s="122"/>
      <c r="J42" s="175"/>
      <c r="K42" s="122"/>
      <c r="L42" s="122"/>
      <c r="M42" s="122"/>
      <c r="N42" s="122"/>
      <c r="O42" s="122"/>
      <c r="P42" s="122"/>
      <c r="Q42" s="122"/>
      <c r="R42" s="123"/>
      <c r="S42" s="123"/>
      <c r="T42" s="73">
        <f>1500+3750+14999+9750</f>
        <v>29999</v>
      </c>
      <c r="U42" s="122"/>
      <c r="V42" s="97" t="s">
        <v>171</v>
      </c>
      <c r="W42" s="123"/>
      <c r="X42" s="92">
        <v>53.9</v>
      </c>
      <c r="Y42" s="88"/>
      <c r="Z42" s="122"/>
      <c r="AA42" s="122"/>
      <c r="AB42" s="122"/>
      <c r="AC42" s="122"/>
      <c r="AD42" s="122"/>
      <c r="AE42" s="175"/>
      <c r="AF42" s="175"/>
      <c r="AG42" s="83">
        <v>44687</v>
      </c>
      <c r="AH42" s="83">
        <v>44687</v>
      </c>
      <c r="AI42" s="77">
        <v>44777</v>
      </c>
      <c r="AJ42" s="79">
        <v>44784</v>
      </c>
      <c r="AK42" s="79">
        <v>44784</v>
      </c>
      <c r="AL42" s="92" t="s">
        <v>31</v>
      </c>
      <c r="AM42" s="73">
        <f>1500+3750+14999+9750</f>
        <v>29999</v>
      </c>
      <c r="AN42" s="93"/>
      <c r="AO42" s="125"/>
      <c r="AP42" s="73">
        <v>29310</v>
      </c>
      <c r="AQ42" s="125"/>
      <c r="AR42" s="125"/>
      <c r="AS42" s="123"/>
      <c r="AT42" s="122"/>
      <c r="AU42" s="122"/>
      <c r="AV42" s="122"/>
      <c r="AW42" s="122"/>
      <c r="AX42" s="122"/>
      <c r="AY42" s="122"/>
      <c r="AZ42" s="176"/>
    </row>
    <row r="43" spans="1:52" s="16" customFormat="1" ht="12.75" x14ac:dyDescent="0.2">
      <c r="A43" s="72" t="s">
        <v>141</v>
      </c>
      <c r="B43" s="72" t="s">
        <v>130</v>
      </c>
      <c r="C43" s="122"/>
      <c r="D43" s="122"/>
      <c r="E43" s="122"/>
      <c r="F43" s="122"/>
      <c r="G43" s="122"/>
      <c r="H43" s="122"/>
      <c r="I43" s="122"/>
      <c r="J43" s="175"/>
      <c r="K43" s="122"/>
      <c r="L43" s="122"/>
      <c r="M43" s="122"/>
      <c r="N43" s="122"/>
      <c r="O43" s="122"/>
      <c r="P43" s="122"/>
      <c r="Q43" s="122"/>
      <c r="R43" s="123"/>
      <c r="S43" s="123"/>
      <c r="T43" s="73">
        <f>3750+9750+29935+1500</f>
        <v>44935</v>
      </c>
      <c r="U43" s="122"/>
      <c r="V43" s="97" t="s">
        <v>171</v>
      </c>
      <c r="W43" s="123"/>
      <c r="X43" s="92">
        <v>53.9</v>
      </c>
      <c r="Y43" s="88"/>
      <c r="Z43" s="122"/>
      <c r="AA43" s="122"/>
      <c r="AB43" s="122"/>
      <c r="AC43" s="122"/>
      <c r="AD43" s="122"/>
      <c r="AE43" s="175"/>
      <c r="AF43" s="175"/>
      <c r="AG43" s="83">
        <v>44722</v>
      </c>
      <c r="AH43" s="83">
        <v>44722</v>
      </c>
      <c r="AI43" s="75">
        <v>44848</v>
      </c>
      <c r="AJ43" s="79">
        <v>44855</v>
      </c>
      <c r="AK43" s="79">
        <v>44855</v>
      </c>
      <c r="AL43" s="92" t="s">
        <v>31</v>
      </c>
      <c r="AM43" s="73">
        <f>3750+9750+29935+1500</f>
        <v>44935</v>
      </c>
      <c r="AN43" s="125"/>
      <c r="AO43" s="125"/>
      <c r="AP43" s="73">
        <v>44358</v>
      </c>
      <c r="AQ43" s="125"/>
      <c r="AR43" s="125"/>
      <c r="AS43" s="123"/>
      <c r="AT43" s="122"/>
      <c r="AU43" s="122"/>
      <c r="AV43" s="122"/>
      <c r="AW43" s="122"/>
      <c r="AX43" s="122"/>
      <c r="AY43" s="122"/>
      <c r="AZ43" s="176"/>
    </row>
    <row r="44" spans="1:52" ht="12.75" x14ac:dyDescent="0.2">
      <c r="A44" s="248" t="s">
        <v>41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69">
        <f>SUM(AM9:AM43)</f>
        <v>2593513</v>
      </c>
      <c r="AN44" s="269"/>
      <c r="AO44" s="269"/>
      <c r="AP44" s="250"/>
      <c r="AQ44" s="250"/>
      <c r="AR44" s="251"/>
      <c r="AS44" s="103"/>
      <c r="AT44" s="103"/>
      <c r="AU44" s="103"/>
      <c r="AV44" s="103"/>
      <c r="AW44" s="103"/>
      <c r="AX44" s="103"/>
      <c r="AY44" s="103"/>
      <c r="AZ44" s="103"/>
    </row>
    <row r="45" spans="1:52" ht="12.75" x14ac:dyDescent="0.2">
      <c r="A45" s="252" t="s">
        <v>42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3"/>
      <c r="AN45" s="253"/>
      <c r="AO45" s="253"/>
      <c r="AP45" s="254">
        <f>SUM(AP9:AP43)</f>
        <v>2573728</v>
      </c>
      <c r="AQ45" s="255"/>
      <c r="AR45" s="255"/>
      <c r="AS45" s="103"/>
      <c r="AT45" s="103"/>
      <c r="AU45" s="103"/>
      <c r="AV45" s="103"/>
      <c r="AW45" s="103"/>
      <c r="AX45" s="103"/>
      <c r="AY45" s="103"/>
      <c r="AZ45" s="103"/>
    </row>
    <row r="46" spans="1:52" ht="12.75" x14ac:dyDescent="0.2">
      <c r="A46" s="242" t="s">
        <v>43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3">
        <f>AM44-AP45</f>
        <v>19785</v>
      </c>
      <c r="AN46" s="244"/>
      <c r="AO46" s="244"/>
      <c r="AP46" s="244"/>
      <c r="AQ46" s="244"/>
      <c r="AR46" s="244"/>
      <c r="AS46" s="103"/>
      <c r="AT46" s="103"/>
      <c r="AU46" s="103"/>
      <c r="AV46" s="103"/>
      <c r="AW46" s="103"/>
      <c r="AX46" s="103"/>
      <c r="AY46" s="103"/>
      <c r="AZ46" s="103"/>
    </row>
    <row r="47" spans="1:52" ht="15" thickBot="1" x14ac:dyDescent="0.25"/>
    <row r="48" spans="1:52" s="19" customFormat="1" ht="26.25" customHeight="1" thickBot="1" x14ac:dyDescent="0.25">
      <c r="A48" s="68" t="s">
        <v>44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64"/>
      <c r="Y48" s="31"/>
      <c r="Z48" s="31"/>
      <c r="AA48" s="31"/>
      <c r="AB48" s="31"/>
      <c r="AC48" s="31"/>
      <c r="AD48" s="31"/>
      <c r="AE48" s="31"/>
      <c r="AF48" s="31"/>
      <c r="AG48" s="31"/>
      <c r="AH48" s="62"/>
      <c r="AI48" s="31"/>
      <c r="AJ48" s="50"/>
      <c r="AK48" s="31"/>
      <c r="AL48" s="55"/>
      <c r="AM48" s="37"/>
      <c r="AN48" s="31"/>
      <c r="AO48" s="31"/>
      <c r="AP48" s="37"/>
      <c r="AQ48" s="31"/>
      <c r="AR48" s="31"/>
      <c r="AS48" s="31"/>
      <c r="AT48" s="31"/>
      <c r="AU48" s="31"/>
      <c r="AV48" s="31"/>
      <c r="AW48" s="31"/>
      <c r="AX48" s="31"/>
      <c r="AY48" s="31"/>
      <c r="AZ48" s="32"/>
    </row>
    <row r="49" spans="1:52" s="19" customFormat="1" x14ac:dyDescent="0.2">
      <c r="A49" s="72" t="s">
        <v>145</v>
      </c>
      <c r="B49" s="72" t="s">
        <v>253</v>
      </c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  <c r="R49" s="4"/>
      <c r="S49" s="4"/>
      <c r="T49" s="73">
        <v>114000</v>
      </c>
      <c r="U49" s="99"/>
      <c r="V49" s="97" t="s">
        <v>170</v>
      </c>
      <c r="W49" s="2"/>
      <c r="X49" s="2">
        <v>53.9</v>
      </c>
      <c r="Y49" s="46"/>
      <c r="Z49" s="100"/>
      <c r="AA49" s="98"/>
      <c r="AB49" s="98"/>
      <c r="AC49" s="100"/>
      <c r="AD49" s="100"/>
      <c r="AE49" s="100"/>
      <c r="AF49" s="100"/>
      <c r="AG49" s="75">
        <v>44788</v>
      </c>
      <c r="AH49" s="75">
        <v>44788</v>
      </c>
      <c r="AI49" s="77">
        <v>44823</v>
      </c>
      <c r="AJ49" s="77">
        <v>44830</v>
      </c>
      <c r="AK49" s="77">
        <v>44830</v>
      </c>
      <c r="AL49" s="57" t="s">
        <v>31</v>
      </c>
      <c r="AM49" s="73">
        <v>114000</v>
      </c>
      <c r="AN49" s="96"/>
      <c r="AO49" s="96"/>
      <c r="AP49" s="73">
        <v>113888</v>
      </c>
      <c r="AQ49" s="96"/>
      <c r="AR49" s="96"/>
      <c r="AS49" s="98"/>
      <c r="AT49" s="98"/>
      <c r="AU49" s="98"/>
      <c r="AV49" s="98"/>
      <c r="AW49" s="98"/>
      <c r="AX49" s="98"/>
      <c r="AY49" s="98"/>
      <c r="AZ49" s="98"/>
    </row>
    <row r="50" spans="1:52" s="19" customFormat="1" x14ac:dyDescent="0.2">
      <c r="A50" s="72" t="s">
        <v>143</v>
      </c>
      <c r="B50" s="72" t="s">
        <v>185</v>
      </c>
      <c r="C50" s="40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0"/>
      <c r="R50" s="40"/>
      <c r="S50" s="40"/>
      <c r="T50" s="73">
        <v>92250</v>
      </c>
      <c r="U50" s="99"/>
      <c r="V50" s="97" t="s">
        <v>170</v>
      </c>
      <c r="W50" s="2"/>
      <c r="X50" s="2">
        <v>53.9</v>
      </c>
      <c r="Y50" s="46"/>
      <c r="Z50" s="100"/>
      <c r="AA50" s="98"/>
      <c r="AB50" s="98"/>
      <c r="AC50" s="100"/>
      <c r="AD50" s="100"/>
      <c r="AE50" s="100"/>
      <c r="AF50" s="100"/>
      <c r="AG50" s="75">
        <v>44813</v>
      </c>
      <c r="AH50" s="75">
        <v>44813</v>
      </c>
      <c r="AI50" s="77">
        <v>44907</v>
      </c>
      <c r="AJ50" s="77">
        <v>44914</v>
      </c>
      <c r="AK50" s="77">
        <v>44914</v>
      </c>
      <c r="AL50" s="57" t="s">
        <v>31</v>
      </c>
      <c r="AM50" s="73">
        <v>92250</v>
      </c>
      <c r="AN50" s="44"/>
      <c r="AO50" s="44"/>
      <c r="AP50" s="73">
        <v>92109</v>
      </c>
      <c r="AQ50" s="44"/>
      <c r="AR50" s="44"/>
      <c r="AS50" s="40"/>
      <c r="AT50" s="40"/>
      <c r="AU50" s="40"/>
      <c r="AV50" s="40"/>
      <c r="AW50" s="40"/>
      <c r="AX50" s="40"/>
      <c r="AY50" s="40"/>
      <c r="AZ50" s="45"/>
    </row>
    <row r="51" spans="1:52" s="19" customFormat="1" x14ac:dyDescent="0.2">
      <c r="A51" s="72" t="s">
        <v>265</v>
      </c>
      <c r="B51" s="72" t="s">
        <v>241</v>
      </c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40"/>
      <c r="S51" s="40"/>
      <c r="T51" s="73">
        <v>46575</v>
      </c>
      <c r="U51" s="41"/>
      <c r="V51" s="78" t="s">
        <v>170</v>
      </c>
      <c r="W51" s="42"/>
      <c r="X51" s="2">
        <v>53.9</v>
      </c>
      <c r="Y51" s="46"/>
      <c r="Z51" s="43"/>
      <c r="AA51" s="40"/>
      <c r="AB51" s="40"/>
      <c r="AC51" s="43"/>
      <c r="AD51" s="43"/>
      <c r="AE51" s="43"/>
      <c r="AF51" s="43"/>
      <c r="AG51" s="75">
        <v>44820</v>
      </c>
      <c r="AH51" s="75">
        <v>44820</v>
      </c>
      <c r="AI51" s="77">
        <v>44897</v>
      </c>
      <c r="AJ51" s="77">
        <v>44904</v>
      </c>
      <c r="AK51" s="77">
        <v>44904</v>
      </c>
      <c r="AL51" s="57" t="s">
        <v>31</v>
      </c>
      <c r="AM51" s="73">
        <v>46575</v>
      </c>
      <c r="AN51" s="44"/>
      <c r="AO51" s="44"/>
      <c r="AP51" s="73">
        <v>46385</v>
      </c>
      <c r="AQ51" s="44"/>
      <c r="AR51" s="44"/>
      <c r="AS51" s="40"/>
      <c r="AT51" s="40"/>
      <c r="AU51" s="40"/>
      <c r="AV51" s="40"/>
      <c r="AW51" s="40"/>
      <c r="AX51" s="40"/>
      <c r="AY51" s="40"/>
      <c r="AZ51" s="45"/>
    </row>
    <row r="52" spans="1:52" s="19" customFormat="1" x14ac:dyDescent="0.2">
      <c r="A52" s="72" t="s">
        <v>137</v>
      </c>
      <c r="B52" s="178" t="s">
        <v>112</v>
      </c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0"/>
      <c r="R52" s="40"/>
      <c r="S52" s="40"/>
      <c r="T52" s="73">
        <v>40000</v>
      </c>
      <c r="U52" s="41"/>
      <c r="V52" s="78" t="s">
        <v>170</v>
      </c>
      <c r="W52" s="42"/>
      <c r="X52" s="2">
        <v>53.9</v>
      </c>
      <c r="Y52" s="46"/>
      <c r="Z52" s="43"/>
      <c r="AA52" s="40"/>
      <c r="AB52" s="40"/>
      <c r="AC52" s="43"/>
      <c r="AD52" s="43"/>
      <c r="AE52" s="43"/>
      <c r="AF52" s="43"/>
      <c r="AG52" s="75">
        <v>44820</v>
      </c>
      <c r="AH52" s="75">
        <v>44820</v>
      </c>
      <c r="AI52" s="77">
        <v>44897</v>
      </c>
      <c r="AJ52" s="77">
        <v>44904</v>
      </c>
      <c r="AK52" s="77">
        <v>44904</v>
      </c>
      <c r="AL52" s="57" t="s">
        <v>31</v>
      </c>
      <c r="AM52" s="73">
        <v>40000</v>
      </c>
      <c r="AN52" s="44"/>
      <c r="AO52" s="44"/>
      <c r="AP52" s="73">
        <v>39680</v>
      </c>
      <c r="AQ52" s="44"/>
      <c r="AR52" s="44"/>
      <c r="AS52" s="40"/>
      <c r="AT52" s="40"/>
      <c r="AU52" s="40"/>
      <c r="AV52" s="40"/>
      <c r="AW52" s="40"/>
      <c r="AX52" s="40"/>
      <c r="AY52" s="40"/>
      <c r="AZ52" s="45"/>
    </row>
    <row r="53" spans="1:52" s="19" customFormat="1" x14ac:dyDescent="0.2">
      <c r="A53" s="72" t="s">
        <v>145</v>
      </c>
      <c r="B53" s="72" t="s">
        <v>118</v>
      </c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0"/>
      <c r="R53" s="40"/>
      <c r="S53" s="40"/>
      <c r="T53" s="73">
        <v>60000</v>
      </c>
      <c r="U53" s="41"/>
      <c r="V53" s="78" t="s">
        <v>170</v>
      </c>
      <c r="W53" s="42"/>
      <c r="X53" s="2">
        <v>53.9</v>
      </c>
      <c r="Y53" s="46"/>
      <c r="Z53" s="43"/>
      <c r="AA53" s="40"/>
      <c r="AB53" s="40"/>
      <c r="AC53" s="43"/>
      <c r="AD53" s="43"/>
      <c r="AE53" s="43"/>
      <c r="AF53" s="43"/>
      <c r="AG53" s="75">
        <v>44820</v>
      </c>
      <c r="AH53" s="75">
        <v>44820</v>
      </c>
      <c r="AI53" s="77">
        <v>44897</v>
      </c>
      <c r="AJ53" s="77">
        <v>44904</v>
      </c>
      <c r="AK53" s="77">
        <v>44904</v>
      </c>
      <c r="AL53" s="57" t="s">
        <v>31</v>
      </c>
      <c r="AM53" s="73">
        <v>60000</v>
      </c>
      <c r="AN53" s="44"/>
      <c r="AO53" s="44"/>
      <c r="AP53" s="73">
        <v>59675</v>
      </c>
      <c r="AQ53" s="44"/>
      <c r="AR53" s="44"/>
      <c r="AS53" s="40"/>
      <c r="AT53" s="40"/>
      <c r="AU53" s="40"/>
      <c r="AV53" s="40"/>
      <c r="AW53" s="40"/>
      <c r="AX53" s="40"/>
      <c r="AY53" s="40"/>
      <c r="AZ53" s="45"/>
    </row>
    <row r="54" spans="1:52" s="19" customFormat="1" x14ac:dyDescent="0.2">
      <c r="A54" s="72" t="s">
        <v>154</v>
      </c>
      <c r="B54" s="72" t="s">
        <v>131</v>
      </c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0"/>
      <c r="R54" s="40"/>
      <c r="S54" s="40"/>
      <c r="T54" s="73">
        <v>15000</v>
      </c>
      <c r="U54" s="41"/>
      <c r="V54" s="97" t="s">
        <v>170</v>
      </c>
      <c r="W54" s="42"/>
      <c r="X54" s="2">
        <v>53.9</v>
      </c>
      <c r="Y54" s="46"/>
      <c r="Z54" s="43"/>
      <c r="AA54" s="40"/>
      <c r="AB54" s="40"/>
      <c r="AC54" s="43"/>
      <c r="AD54" s="43"/>
      <c r="AE54" s="43"/>
      <c r="AF54" s="43"/>
      <c r="AG54" s="75">
        <v>44820</v>
      </c>
      <c r="AH54" s="75">
        <v>44820</v>
      </c>
      <c r="AI54" s="78"/>
      <c r="AJ54" s="78"/>
      <c r="AK54" s="78"/>
      <c r="AL54" s="57" t="s">
        <v>31</v>
      </c>
      <c r="AM54" s="73">
        <v>15000</v>
      </c>
      <c r="AN54" s="44"/>
      <c r="AO54" s="44"/>
      <c r="AP54" s="73">
        <v>14795</v>
      </c>
      <c r="AQ54" s="44"/>
      <c r="AR54" s="44"/>
      <c r="AS54" s="40"/>
      <c r="AT54" s="40"/>
      <c r="AU54" s="40"/>
      <c r="AV54" s="40"/>
      <c r="AW54" s="40"/>
      <c r="AX54" s="40"/>
      <c r="AY54" s="40"/>
      <c r="AZ54" s="45"/>
    </row>
    <row r="55" spans="1:52" s="19" customFormat="1" x14ac:dyDescent="0.2">
      <c r="A55" s="72" t="s">
        <v>210</v>
      </c>
      <c r="B55" s="72" t="s">
        <v>217</v>
      </c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0"/>
      <c r="R55" s="40"/>
      <c r="S55" s="40"/>
      <c r="T55" s="73">
        <v>89000</v>
      </c>
      <c r="U55" s="41"/>
      <c r="V55" s="165" t="s">
        <v>170</v>
      </c>
      <c r="W55" s="42"/>
      <c r="X55" s="2">
        <v>53.9</v>
      </c>
      <c r="Y55" s="46"/>
      <c r="Z55" s="43"/>
      <c r="AA55" s="40"/>
      <c r="AB55" s="40"/>
      <c r="AC55" s="43"/>
      <c r="AD55" s="43"/>
      <c r="AE55" s="43"/>
      <c r="AF55" s="43"/>
      <c r="AG55" s="75">
        <v>44873</v>
      </c>
      <c r="AH55" s="75">
        <v>44873</v>
      </c>
      <c r="AI55" s="78"/>
      <c r="AJ55" s="156"/>
      <c r="AK55" s="156"/>
      <c r="AL55" s="57" t="s">
        <v>31</v>
      </c>
      <c r="AM55" s="73">
        <v>89000</v>
      </c>
      <c r="AN55" s="44"/>
      <c r="AO55" s="44"/>
      <c r="AP55" s="73">
        <v>88624</v>
      </c>
      <c r="AQ55" s="44"/>
      <c r="AR55" s="44"/>
      <c r="AS55" s="40"/>
      <c r="AT55" s="40"/>
      <c r="AU55" s="40"/>
      <c r="AV55" s="40"/>
      <c r="AW55" s="40"/>
      <c r="AX55" s="40"/>
      <c r="AY55" s="40"/>
      <c r="AZ55" s="45"/>
    </row>
    <row r="56" spans="1:52" s="19" customFormat="1" x14ac:dyDescent="0.2">
      <c r="A56" s="72" t="s">
        <v>265</v>
      </c>
      <c r="B56" s="72" t="s">
        <v>241</v>
      </c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0"/>
      <c r="R56" s="40"/>
      <c r="S56" s="40"/>
      <c r="T56" s="73">
        <v>48575</v>
      </c>
      <c r="U56" s="41"/>
      <c r="V56" s="165" t="s">
        <v>170</v>
      </c>
      <c r="W56" s="42"/>
      <c r="X56" s="2">
        <v>53.9</v>
      </c>
      <c r="Y56" s="46"/>
      <c r="Z56" s="43"/>
      <c r="AA56" s="40"/>
      <c r="AB56" s="40"/>
      <c r="AC56" s="43"/>
      <c r="AD56" s="43"/>
      <c r="AE56" s="43"/>
      <c r="AF56" s="43"/>
      <c r="AG56" s="75">
        <v>44922</v>
      </c>
      <c r="AH56" s="75">
        <v>44922</v>
      </c>
      <c r="AI56" s="78"/>
      <c r="AJ56" s="156"/>
      <c r="AK56" s="156"/>
      <c r="AL56" s="57" t="s">
        <v>31</v>
      </c>
      <c r="AM56" s="73">
        <v>48575</v>
      </c>
      <c r="AN56" s="44"/>
      <c r="AO56" s="44"/>
      <c r="AP56" s="73">
        <v>48158</v>
      </c>
      <c r="AQ56" s="44"/>
      <c r="AR56" s="44"/>
      <c r="AS56" s="40"/>
      <c r="AT56" s="40"/>
      <c r="AU56" s="40"/>
      <c r="AV56" s="40"/>
      <c r="AW56" s="40"/>
      <c r="AX56" s="40"/>
      <c r="AY56" s="40"/>
      <c r="AZ56" s="45"/>
    </row>
    <row r="57" spans="1:52" s="19" customFormat="1" x14ac:dyDescent="0.2">
      <c r="A57" s="72" t="s">
        <v>265</v>
      </c>
      <c r="B57" s="72" t="s">
        <v>241</v>
      </c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0"/>
      <c r="R57" s="40"/>
      <c r="S57" s="40"/>
      <c r="T57" s="73">
        <v>38575</v>
      </c>
      <c r="U57" s="41"/>
      <c r="V57" s="165" t="s">
        <v>170</v>
      </c>
      <c r="W57" s="42"/>
      <c r="X57" s="2">
        <v>53.9</v>
      </c>
      <c r="Y57" s="46"/>
      <c r="Z57" s="43"/>
      <c r="AA57" s="40"/>
      <c r="AB57" s="40"/>
      <c r="AC57" s="43"/>
      <c r="AD57" s="43"/>
      <c r="AE57" s="43"/>
      <c r="AF57" s="43"/>
      <c r="AG57" s="75">
        <v>44922</v>
      </c>
      <c r="AH57" s="75">
        <v>44922</v>
      </c>
      <c r="AI57" s="78"/>
      <c r="AJ57" s="156"/>
      <c r="AK57" s="156"/>
      <c r="AL57" s="57" t="s">
        <v>31</v>
      </c>
      <c r="AM57" s="73">
        <v>38575</v>
      </c>
      <c r="AN57" s="44"/>
      <c r="AO57" s="44"/>
      <c r="AP57" s="73">
        <v>38308</v>
      </c>
      <c r="AQ57" s="44"/>
      <c r="AR57" s="44"/>
      <c r="AS57" s="40"/>
      <c r="AT57" s="40"/>
      <c r="AU57" s="40"/>
      <c r="AV57" s="40"/>
      <c r="AW57" s="40"/>
      <c r="AX57" s="40"/>
      <c r="AY57" s="40"/>
      <c r="AZ57" s="45"/>
    </row>
    <row r="58" spans="1:52" s="19" customFormat="1" x14ac:dyDescent="0.2">
      <c r="A58" s="72" t="s">
        <v>265</v>
      </c>
      <c r="B58" s="72" t="s">
        <v>241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0"/>
      <c r="R58" s="40"/>
      <c r="S58" s="40"/>
      <c r="T58" s="73">
        <v>38575</v>
      </c>
      <c r="U58" s="41"/>
      <c r="V58" s="165" t="s">
        <v>170</v>
      </c>
      <c r="W58" s="42"/>
      <c r="X58" s="2">
        <v>53.9</v>
      </c>
      <c r="Y58" s="46"/>
      <c r="Z58" s="43"/>
      <c r="AA58" s="40"/>
      <c r="AB58" s="40"/>
      <c r="AC58" s="43"/>
      <c r="AD58" s="43"/>
      <c r="AE58" s="43"/>
      <c r="AF58" s="43"/>
      <c r="AG58" s="75">
        <v>44922</v>
      </c>
      <c r="AH58" s="75">
        <v>44922</v>
      </c>
      <c r="AI58" s="78"/>
      <c r="AJ58" s="156"/>
      <c r="AK58" s="156"/>
      <c r="AL58" s="57" t="s">
        <v>31</v>
      </c>
      <c r="AM58" s="73">
        <v>38575</v>
      </c>
      <c r="AN58" s="44"/>
      <c r="AO58" s="44"/>
      <c r="AP58" s="73">
        <v>38288</v>
      </c>
      <c r="AQ58" s="44"/>
      <c r="AR58" s="44"/>
      <c r="AS58" s="40"/>
      <c r="AT58" s="40"/>
      <c r="AU58" s="40"/>
      <c r="AV58" s="40"/>
      <c r="AW58" s="40"/>
      <c r="AX58" s="40"/>
      <c r="AY58" s="40"/>
      <c r="AZ58" s="45"/>
    </row>
    <row r="59" spans="1:52" s="19" customFormat="1" x14ac:dyDescent="0.2">
      <c r="A59" s="72" t="s">
        <v>145</v>
      </c>
      <c r="B59" s="72" t="s">
        <v>118</v>
      </c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0"/>
      <c r="R59" s="40"/>
      <c r="S59" s="40"/>
      <c r="T59" s="73">
        <v>70000</v>
      </c>
      <c r="U59" s="41"/>
      <c r="V59" s="97" t="s">
        <v>169</v>
      </c>
      <c r="W59" s="42"/>
      <c r="X59" s="2">
        <v>53.9</v>
      </c>
      <c r="Y59" s="46"/>
      <c r="Z59" s="43"/>
      <c r="AA59" s="40"/>
      <c r="AB59" s="40"/>
      <c r="AC59" s="43"/>
      <c r="AD59" s="43"/>
      <c r="AE59" s="43"/>
      <c r="AF59" s="43"/>
      <c r="AG59" s="76">
        <v>44687</v>
      </c>
      <c r="AH59" s="76">
        <v>44687</v>
      </c>
      <c r="AI59" s="77">
        <v>44708</v>
      </c>
      <c r="AJ59" s="79">
        <v>44714</v>
      </c>
      <c r="AK59" s="79">
        <v>44714</v>
      </c>
      <c r="AL59" s="57" t="s">
        <v>31</v>
      </c>
      <c r="AM59" s="73">
        <v>70000</v>
      </c>
      <c r="AN59" s="44"/>
      <c r="AO59" s="44"/>
      <c r="AP59" s="73">
        <v>69180</v>
      </c>
      <c r="AQ59" s="44"/>
      <c r="AR59" s="44"/>
      <c r="AS59" s="40"/>
      <c r="AT59" s="40"/>
      <c r="AU59" s="40"/>
      <c r="AV59" s="40"/>
      <c r="AW59" s="40"/>
      <c r="AX59" s="40"/>
      <c r="AY59" s="40"/>
      <c r="AZ59" s="45"/>
    </row>
    <row r="60" spans="1:52" s="19" customFormat="1" x14ac:dyDescent="0.2">
      <c r="A60" s="72" t="s">
        <v>152</v>
      </c>
      <c r="B60" s="153" t="s">
        <v>129</v>
      </c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0"/>
      <c r="R60" s="40"/>
      <c r="S60" s="40"/>
      <c r="T60" s="73">
        <f>26750+75000</f>
        <v>101750</v>
      </c>
      <c r="U60" s="41"/>
      <c r="V60" s="97" t="s">
        <v>169</v>
      </c>
      <c r="W60" s="42"/>
      <c r="X60" s="2">
        <v>53.9</v>
      </c>
      <c r="Y60" s="46"/>
      <c r="Z60" s="43"/>
      <c r="AA60" s="40"/>
      <c r="AB60" s="40"/>
      <c r="AC60" s="43"/>
      <c r="AD60" s="43"/>
      <c r="AE60" s="43"/>
      <c r="AF60" s="43"/>
      <c r="AG60" s="75">
        <v>44760</v>
      </c>
      <c r="AH60" s="75">
        <v>44760</v>
      </c>
      <c r="AI60" s="78"/>
      <c r="AJ60" s="78"/>
      <c r="AK60" s="78"/>
      <c r="AL60" s="57" t="s">
        <v>31</v>
      </c>
      <c r="AM60" s="73">
        <f>26750+75000</f>
        <v>101750</v>
      </c>
      <c r="AN60" s="44"/>
      <c r="AO60" s="44"/>
      <c r="AP60" s="73">
        <v>101130</v>
      </c>
      <c r="AQ60" s="44"/>
      <c r="AR60" s="44"/>
      <c r="AS60" s="40"/>
      <c r="AT60" s="40"/>
      <c r="AU60" s="40"/>
      <c r="AV60" s="40"/>
      <c r="AW60" s="40"/>
      <c r="AX60" s="40"/>
      <c r="AY60" s="40"/>
      <c r="AZ60" s="45"/>
    </row>
    <row r="61" spans="1:52" s="19" customFormat="1" x14ac:dyDescent="0.2">
      <c r="A61" s="72" t="s">
        <v>152</v>
      </c>
      <c r="B61" s="72" t="s">
        <v>124</v>
      </c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0"/>
      <c r="R61" s="40"/>
      <c r="S61" s="40"/>
      <c r="T61" s="73">
        <v>26750</v>
      </c>
      <c r="U61" s="41"/>
      <c r="V61" s="78" t="s">
        <v>169</v>
      </c>
      <c r="W61" s="42"/>
      <c r="X61" s="2">
        <v>53.9</v>
      </c>
      <c r="Y61" s="46"/>
      <c r="Z61" s="43"/>
      <c r="AA61" s="40"/>
      <c r="AB61" s="40"/>
      <c r="AC61" s="43"/>
      <c r="AD61" s="43"/>
      <c r="AE61" s="43"/>
      <c r="AF61" s="43"/>
      <c r="AG61" s="75">
        <v>44844</v>
      </c>
      <c r="AH61" s="75">
        <v>44844</v>
      </c>
      <c r="AI61" s="78"/>
      <c r="AJ61" s="78"/>
      <c r="AK61" s="78"/>
      <c r="AL61" s="57" t="s">
        <v>31</v>
      </c>
      <c r="AM61" s="73">
        <v>26750</v>
      </c>
      <c r="AN61" s="44"/>
      <c r="AO61" s="44"/>
      <c r="AP61" s="73">
        <v>26500</v>
      </c>
      <c r="AQ61" s="44"/>
      <c r="AR61" s="44"/>
      <c r="AS61" s="40"/>
      <c r="AT61" s="40"/>
      <c r="AU61" s="40"/>
      <c r="AV61" s="40"/>
      <c r="AW61" s="40"/>
      <c r="AX61" s="40"/>
      <c r="AY61" s="40"/>
      <c r="AZ61" s="45"/>
    </row>
    <row r="62" spans="1:52" s="19" customFormat="1" x14ac:dyDescent="0.2">
      <c r="A62" s="72" t="s">
        <v>152</v>
      </c>
      <c r="B62" s="72" t="s">
        <v>172</v>
      </c>
      <c r="C62" s="40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0"/>
      <c r="R62" s="40"/>
      <c r="S62" s="40"/>
      <c r="T62" s="73">
        <v>75000</v>
      </c>
      <c r="U62" s="41"/>
      <c r="V62" s="97" t="s">
        <v>169</v>
      </c>
      <c r="W62" s="42"/>
      <c r="X62" s="2">
        <v>53.9</v>
      </c>
      <c r="Y62" s="46"/>
      <c r="Z62" s="43"/>
      <c r="AA62" s="40"/>
      <c r="AB62" s="40"/>
      <c r="AC62" s="43"/>
      <c r="AD62" s="43"/>
      <c r="AE62" s="43"/>
      <c r="AF62" s="43"/>
      <c r="AG62" s="75">
        <v>44844</v>
      </c>
      <c r="AH62" s="75">
        <v>44844</v>
      </c>
      <c r="AI62" s="78"/>
      <c r="AJ62" s="78"/>
      <c r="AK62" s="78"/>
      <c r="AL62" s="57" t="s">
        <v>31</v>
      </c>
      <c r="AM62" s="73">
        <v>75000</v>
      </c>
      <c r="AN62" s="44"/>
      <c r="AO62" s="44"/>
      <c r="AP62" s="73">
        <v>74300</v>
      </c>
      <c r="AQ62" s="44"/>
      <c r="AR62" s="44"/>
      <c r="AS62" s="40"/>
      <c r="AT62" s="40"/>
      <c r="AU62" s="40"/>
      <c r="AV62" s="40"/>
      <c r="AW62" s="40"/>
      <c r="AX62" s="40"/>
      <c r="AY62" s="40"/>
      <c r="AZ62" s="45"/>
    </row>
    <row r="63" spans="1:52" s="19" customFormat="1" x14ac:dyDescent="0.2">
      <c r="A63" s="72" t="s">
        <v>143</v>
      </c>
      <c r="B63" s="72" t="s">
        <v>128</v>
      </c>
      <c r="C63" s="40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0"/>
      <c r="R63" s="40"/>
      <c r="S63" s="40"/>
      <c r="T63" s="73">
        <v>301500</v>
      </c>
      <c r="U63" s="41"/>
      <c r="V63" s="165" t="s">
        <v>169</v>
      </c>
      <c r="W63" s="42"/>
      <c r="X63" s="2">
        <v>53.9</v>
      </c>
      <c r="Y63" s="46"/>
      <c r="Z63" s="43"/>
      <c r="AA63" s="40"/>
      <c r="AB63" s="40"/>
      <c r="AC63" s="43"/>
      <c r="AD63" s="43"/>
      <c r="AE63" s="43"/>
      <c r="AF63" s="43"/>
      <c r="AG63" s="75">
        <v>44844</v>
      </c>
      <c r="AH63" s="75">
        <v>44844</v>
      </c>
      <c r="AI63" s="78"/>
      <c r="AJ63" s="78"/>
      <c r="AK63" s="78"/>
      <c r="AL63" s="57" t="s">
        <v>31</v>
      </c>
      <c r="AM63" s="73">
        <v>301500</v>
      </c>
      <c r="AN63" s="44"/>
      <c r="AO63" s="44"/>
      <c r="AP63" s="73">
        <v>299199</v>
      </c>
      <c r="AQ63" s="44"/>
      <c r="AR63" s="44"/>
      <c r="AS63" s="40"/>
      <c r="AT63" s="40"/>
      <c r="AU63" s="40"/>
      <c r="AV63" s="40"/>
      <c r="AW63" s="40"/>
      <c r="AX63" s="40"/>
      <c r="AY63" s="40"/>
      <c r="AZ63" s="45"/>
    </row>
    <row r="64" spans="1:52" s="19" customFormat="1" x14ac:dyDescent="0.2">
      <c r="A64" s="179" t="s">
        <v>142</v>
      </c>
      <c r="B64" s="72" t="s">
        <v>116</v>
      </c>
      <c r="C64" s="40"/>
      <c r="D64" s="40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0"/>
      <c r="R64" s="40"/>
      <c r="S64" s="40"/>
      <c r="T64" s="73">
        <v>19500</v>
      </c>
      <c r="U64" s="41"/>
      <c r="V64" s="78" t="s">
        <v>169</v>
      </c>
      <c r="W64" s="42"/>
      <c r="X64" s="2">
        <v>53.9</v>
      </c>
      <c r="Y64" s="46"/>
      <c r="Z64" s="43"/>
      <c r="AA64" s="40"/>
      <c r="AB64" s="40"/>
      <c r="AC64" s="43"/>
      <c r="AD64" s="43"/>
      <c r="AE64" s="43"/>
      <c r="AF64" s="43"/>
      <c r="AG64" s="75">
        <v>44845</v>
      </c>
      <c r="AH64" s="75">
        <v>44845</v>
      </c>
      <c r="AI64" s="77">
        <v>44887</v>
      </c>
      <c r="AJ64" s="77">
        <v>44894</v>
      </c>
      <c r="AK64" s="77">
        <v>44894</v>
      </c>
      <c r="AL64" s="57" t="s">
        <v>31</v>
      </c>
      <c r="AM64" s="73">
        <v>19500</v>
      </c>
      <c r="AN64" s="44"/>
      <c r="AO64" s="44"/>
      <c r="AP64" s="73">
        <v>19382</v>
      </c>
      <c r="AQ64" s="44"/>
      <c r="AR64" s="44"/>
      <c r="AS64" s="40"/>
      <c r="AT64" s="40"/>
      <c r="AU64" s="40"/>
      <c r="AV64" s="40"/>
      <c r="AW64" s="40"/>
      <c r="AX64" s="40"/>
      <c r="AY64" s="40"/>
      <c r="AZ64" s="45"/>
    </row>
    <row r="65" spans="1:52" s="19" customFormat="1" x14ac:dyDescent="0.2">
      <c r="A65" s="72" t="s">
        <v>150</v>
      </c>
      <c r="B65" s="72" t="s">
        <v>188</v>
      </c>
      <c r="C65" s="40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0"/>
      <c r="R65" s="40"/>
      <c r="S65" s="40"/>
      <c r="T65" s="73">
        <v>10500</v>
      </c>
      <c r="U65" s="41"/>
      <c r="V65" s="78" t="s">
        <v>169</v>
      </c>
      <c r="W65" s="42"/>
      <c r="X65" s="2">
        <v>53.9</v>
      </c>
      <c r="Y65" s="46"/>
      <c r="Z65" s="43"/>
      <c r="AA65" s="40"/>
      <c r="AB65" s="40"/>
      <c r="AC65" s="43"/>
      <c r="AD65" s="43"/>
      <c r="AE65" s="43"/>
      <c r="AF65" s="43"/>
      <c r="AG65" s="75">
        <v>44845</v>
      </c>
      <c r="AH65" s="75">
        <v>44845</v>
      </c>
      <c r="AI65" s="77">
        <v>44887</v>
      </c>
      <c r="AJ65" s="77">
        <v>44894</v>
      </c>
      <c r="AK65" s="77">
        <v>44894</v>
      </c>
      <c r="AL65" s="57" t="s">
        <v>31</v>
      </c>
      <c r="AM65" s="73">
        <v>10500</v>
      </c>
      <c r="AN65" s="44"/>
      <c r="AO65" s="44"/>
      <c r="AP65" s="73">
        <v>10474</v>
      </c>
      <c r="AQ65" s="44"/>
      <c r="AR65" s="44"/>
      <c r="AS65" s="40"/>
      <c r="AT65" s="40"/>
      <c r="AU65" s="40"/>
      <c r="AV65" s="40"/>
      <c r="AW65" s="40"/>
      <c r="AX65" s="40"/>
      <c r="AY65" s="40"/>
      <c r="AZ65" s="45"/>
    </row>
    <row r="66" spans="1:52" s="19" customFormat="1" x14ac:dyDescent="0.2">
      <c r="A66" s="72" t="s">
        <v>252</v>
      </c>
      <c r="B66" s="72" t="s">
        <v>201</v>
      </c>
      <c r="C66" s="40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0"/>
      <c r="R66" s="40"/>
      <c r="S66" s="40"/>
      <c r="T66" s="73">
        <v>70000</v>
      </c>
      <c r="U66" s="41"/>
      <c r="V66" s="78" t="s">
        <v>169</v>
      </c>
      <c r="W66" s="42"/>
      <c r="X66" s="2">
        <v>53.9</v>
      </c>
      <c r="Y66" s="46"/>
      <c r="Z66" s="43"/>
      <c r="AA66" s="40"/>
      <c r="AB66" s="40"/>
      <c r="AC66" s="43"/>
      <c r="AD66" s="43"/>
      <c r="AE66" s="43"/>
      <c r="AF66" s="43"/>
      <c r="AG66" s="75">
        <v>44873</v>
      </c>
      <c r="AH66" s="75">
        <v>44873</v>
      </c>
      <c r="AI66" s="78"/>
      <c r="AJ66" s="156"/>
      <c r="AK66" s="156"/>
      <c r="AL66" s="57" t="s">
        <v>31</v>
      </c>
      <c r="AM66" s="73">
        <v>70000</v>
      </c>
      <c r="AN66" s="44"/>
      <c r="AO66" s="44"/>
      <c r="AP66" s="73">
        <v>69340</v>
      </c>
      <c r="AQ66" s="44"/>
      <c r="AR66" s="44"/>
      <c r="AS66" s="40"/>
      <c r="AT66" s="40"/>
      <c r="AU66" s="40"/>
      <c r="AV66" s="40"/>
      <c r="AW66" s="40"/>
      <c r="AX66" s="40"/>
      <c r="AY66" s="40"/>
      <c r="AZ66" s="45"/>
    </row>
    <row r="67" spans="1:52" s="19" customFormat="1" x14ac:dyDescent="0.2">
      <c r="A67" s="72" t="s">
        <v>252</v>
      </c>
      <c r="B67" s="72" t="s">
        <v>201</v>
      </c>
      <c r="C67" s="40"/>
      <c r="D67" s="40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0"/>
      <c r="R67" s="40"/>
      <c r="S67" s="40"/>
      <c r="T67" s="73">
        <v>70000</v>
      </c>
      <c r="U67" s="41"/>
      <c r="V67" s="78" t="s">
        <v>169</v>
      </c>
      <c r="W67" s="42"/>
      <c r="X67" s="2">
        <v>53.9</v>
      </c>
      <c r="Y67" s="46"/>
      <c r="Z67" s="43"/>
      <c r="AA67" s="40"/>
      <c r="AB67" s="40"/>
      <c r="AC67" s="43"/>
      <c r="AD67" s="43"/>
      <c r="AE67" s="43"/>
      <c r="AF67" s="43"/>
      <c r="AG67" s="75">
        <v>44873</v>
      </c>
      <c r="AH67" s="75">
        <v>44873</v>
      </c>
      <c r="AI67" s="78"/>
      <c r="AJ67" s="156"/>
      <c r="AK67" s="156"/>
      <c r="AL67" s="57" t="s">
        <v>31</v>
      </c>
      <c r="AM67" s="73">
        <v>70000</v>
      </c>
      <c r="AN67" s="44"/>
      <c r="AO67" s="44"/>
      <c r="AP67" s="73">
        <v>69340</v>
      </c>
      <c r="AQ67" s="44"/>
      <c r="AR67" s="44"/>
      <c r="AS67" s="40"/>
      <c r="AT67" s="40"/>
      <c r="AU67" s="40"/>
      <c r="AV67" s="40"/>
      <c r="AW67" s="40"/>
      <c r="AX67" s="40"/>
      <c r="AY67" s="40"/>
      <c r="AZ67" s="45"/>
    </row>
    <row r="68" spans="1:52" s="19" customFormat="1" x14ac:dyDescent="0.2">
      <c r="A68" s="72" t="s">
        <v>143</v>
      </c>
      <c r="B68" s="72" t="s">
        <v>128</v>
      </c>
      <c r="C68" s="40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0"/>
      <c r="R68" s="40"/>
      <c r="S68" s="40"/>
      <c r="T68" s="73">
        <v>19750</v>
      </c>
      <c r="U68" s="41"/>
      <c r="V68" s="78" t="s">
        <v>171</v>
      </c>
      <c r="W68" s="42"/>
      <c r="X68" s="2">
        <v>53.9</v>
      </c>
      <c r="Y68" s="46"/>
      <c r="Z68" s="43"/>
      <c r="AA68" s="40"/>
      <c r="AB68" s="40"/>
      <c r="AC68" s="43"/>
      <c r="AD68" s="43"/>
      <c r="AE68" s="43"/>
      <c r="AF68" s="43"/>
      <c r="AG68" s="75">
        <v>44846</v>
      </c>
      <c r="AH68" s="75">
        <v>44846</v>
      </c>
      <c r="AI68" s="78"/>
      <c r="AJ68" s="78"/>
      <c r="AK68" s="78"/>
      <c r="AL68" s="57" t="s">
        <v>31</v>
      </c>
      <c r="AM68" s="73">
        <v>19750</v>
      </c>
      <c r="AN68" s="44"/>
      <c r="AO68" s="44"/>
      <c r="AP68" s="73">
        <v>18447</v>
      </c>
      <c r="AQ68" s="44"/>
      <c r="AR68" s="44"/>
      <c r="AS68" s="40"/>
      <c r="AT68" s="40"/>
      <c r="AU68" s="40"/>
      <c r="AV68" s="40"/>
      <c r="AW68" s="40"/>
      <c r="AX68" s="40"/>
      <c r="AY68" s="40"/>
      <c r="AZ68" s="45"/>
    </row>
    <row r="69" spans="1:52" s="19" customFormat="1" x14ac:dyDescent="0.2">
      <c r="A69" s="72" t="s">
        <v>141</v>
      </c>
      <c r="B69" s="72" t="s">
        <v>130</v>
      </c>
      <c r="C69" s="40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0"/>
      <c r="R69" s="40"/>
      <c r="S69" s="40"/>
      <c r="T69" s="73">
        <v>3750</v>
      </c>
      <c r="U69" s="41"/>
      <c r="V69" s="78" t="s">
        <v>171</v>
      </c>
      <c r="W69" s="42"/>
      <c r="X69" s="2">
        <v>53.9</v>
      </c>
      <c r="Y69" s="46"/>
      <c r="Z69" s="43"/>
      <c r="AA69" s="40"/>
      <c r="AB69" s="40"/>
      <c r="AC69" s="43"/>
      <c r="AD69" s="43"/>
      <c r="AE69" s="43"/>
      <c r="AF69" s="43"/>
      <c r="AG69" s="75">
        <v>44846</v>
      </c>
      <c r="AH69" s="75">
        <v>44846</v>
      </c>
      <c r="AI69" s="78"/>
      <c r="AJ69" s="78"/>
      <c r="AK69" s="78"/>
      <c r="AL69" s="57" t="s">
        <v>31</v>
      </c>
      <c r="AM69" s="73">
        <v>3750</v>
      </c>
      <c r="AN69" s="44"/>
      <c r="AO69" s="44"/>
      <c r="AP69" s="73">
        <v>3465</v>
      </c>
      <c r="AQ69" s="44"/>
      <c r="AR69" s="44"/>
      <c r="AS69" s="40"/>
      <c r="AT69" s="40"/>
      <c r="AU69" s="40"/>
      <c r="AV69" s="40"/>
      <c r="AW69" s="40"/>
      <c r="AX69" s="40"/>
      <c r="AY69" s="40"/>
      <c r="AZ69" s="45"/>
    </row>
    <row r="70" spans="1:52" s="19" customFormat="1" x14ac:dyDescent="0.2">
      <c r="A70" s="72" t="s">
        <v>142</v>
      </c>
      <c r="B70" s="72" t="s">
        <v>116</v>
      </c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0"/>
      <c r="R70" s="40"/>
      <c r="S70" s="40"/>
      <c r="T70" s="73">
        <v>1500</v>
      </c>
      <c r="U70" s="41"/>
      <c r="V70" s="78" t="s">
        <v>171</v>
      </c>
      <c r="W70" s="42"/>
      <c r="X70" s="2">
        <v>53.9</v>
      </c>
      <c r="Y70" s="46"/>
      <c r="Z70" s="43"/>
      <c r="AA70" s="40"/>
      <c r="AB70" s="40"/>
      <c r="AC70" s="43"/>
      <c r="AD70" s="43"/>
      <c r="AE70" s="43"/>
      <c r="AF70" s="43"/>
      <c r="AG70" s="75">
        <v>44846</v>
      </c>
      <c r="AH70" s="75">
        <v>44846</v>
      </c>
      <c r="AI70" s="78"/>
      <c r="AJ70" s="78"/>
      <c r="AK70" s="78"/>
      <c r="AL70" s="57" t="s">
        <v>31</v>
      </c>
      <c r="AM70" s="73">
        <v>1500</v>
      </c>
      <c r="AN70" s="44"/>
      <c r="AO70" s="44"/>
      <c r="AP70" s="73">
        <v>1494</v>
      </c>
      <c r="AQ70" s="44"/>
      <c r="AR70" s="44"/>
      <c r="AS70" s="40"/>
      <c r="AT70" s="40"/>
      <c r="AU70" s="40"/>
      <c r="AV70" s="40"/>
      <c r="AW70" s="40"/>
      <c r="AX70" s="40"/>
      <c r="AY70" s="40"/>
      <c r="AZ70" s="45"/>
    </row>
    <row r="71" spans="1:52" s="19" customFormat="1" x14ac:dyDescent="0.2">
      <c r="A71" s="72" t="s">
        <v>152</v>
      </c>
      <c r="B71" s="72" t="s">
        <v>124</v>
      </c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0"/>
      <c r="R71" s="40"/>
      <c r="S71" s="40"/>
      <c r="T71" s="73">
        <v>14999</v>
      </c>
      <c r="U71" s="41"/>
      <c r="V71" s="78" t="s">
        <v>171</v>
      </c>
      <c r="W71" s="42"/>
      <c r="X71" s="2">
        <v>53.9</v>
      </c>
      <c r="Y71" s="46"/>
      <c r="Z71" s="43"/>
      <c r="AA71" s="40"/>
      <c r="AB71" s="40"/>
      <c r="AC71" s="43"/>
      <c r="AD71" s="43"/>
      <c r="AE71" s="43"/>
      <c r="AF71" s="43"/>
      <c r="AG71" s="75">
        <v>44846</v>
      </c>
      <c r="AH71" s="75">
        <v>44846</v>
      </c>
      <c r="AI71" s="78"/>
      <c r="AJ71" s="78"/>
      <c r="AK71" s="78"/>
      <c r="AL71" s="57" t="s">
        <v>31</v>
      </c>
      <c r="AM71" s="73">
        <v>14999</v>
      </c>
      <c r="AN71" s="44"/>
      <c r="AO71" s="44"/>
      <c r="AP71" s="73">
        <v>14700</v>
      </c>
      <c r="AQ71" s="44"/>
      <c r="AR71" s="44"/>
      <c r="AS71" s="40"/>
      <c r="AT71" s="40"/>
      <c r="AU71" s="40"/>
      <c r="AV71" s="40"/>
      <c r="AW71" s="40"/>
      <c r="AX71" s="40"/>
      <c r="AY71" s="40"/>
      <c r="AZ71" s="45"/>
    </row>
    <row r="72" spans="1:52" s="19" customFormat="1" x14ac:dyDescent="0.2">
      <c r="A72" s="72" t="s">
        <v>142</v>
      </c>
      <c r="B72" s="72" t="s">
        <v>116</v>
      </c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0"/>
      <c r="R72" s="40"/>
      <c r="S72" s="40"/>
      <c r="T72" s="73">
        <f>1500+9750+3750</f>
        <v>15000</v>
      </c>
      <c r="U72" s="41"/>
      <c r="V72" s="97" t="s">
        <v>266</v>
      </c>
      <c r="W72" s="42"/>
      <c r="X72" s="2">
        <v>53.9</v>
      </c>
      <c r="Y72" s="46"/>
      <c r="Z72" s="43"/>
      <c r="AA72" s="40"/>
      <c r="AB72" s="40"/>
      <c r="AC72" s="43"/>
      <c r="AD72" s="43"/>
      <c r="AE72" s="43"/>
      <c r="AF72" s="43"/>
      <c r="AG72" s="76">
        <v>44685</v>
      </c>
      <c r="AH72" s="76">
        <v>44685</v>
      </c>
      <c r="AI72" s="77">
        <v>44813</v>
      </c>
      <c r="AJ72" s="79">
        <v>44820</v>
      </c>
      <c r="AK72" s="79">
        <v>44820</v>
      </c>
      <c r="AL72" s="57" t="s">
        <v>31</v>
      </c>
      <c r="AM72" s="73">
        <f>1500+9750+3750</f>
        <v>15000</v>
      </c>
      <c r="AN72" s="44"/>
      <c r="AO72" s="44"/>
      <c r="AP72" s="73">
        <f>1494+9710+3724</f>
        <v>14928</v>
      </c>
      <c r="AQ72" s="44"/>
      <c r="AR72" s="44"/>
      <c r="AS72" s="40"/>
      <c r="AT72" s="40"/>
      <c r="AU72" s="40"/>
      <c r="AV72" s="40"/>
      <c r="AW72" s="40"/>
      <c r="AX72" s="40"/>
      <c r="AY72" s="40"/>
      <c r="AZ72" s="45"/>
    </row>
    <row r="73" spans="1:52" s="19" customFormat="1" x14ac:dyDescent="0.2">
      <c r="A73" s="72" t="s">
        <v>142</v>
      </c>
      <c r="B73" s="72" t="s">
        <v>116</v>
      </c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0"/>
      <c r="R73" s="40"/>
      <c r="S73" s="40"/>
      <c r="T73" s="73">
        <f>1500+9750+3750+14999</f>
        <v>29999</v>
      </c>
      <c r="U73" s="41"/>
      <c r="V73" s="97" t="s">
        <v>266</v>
      </c>
      <c r="W73" s="42"/>
      <c r="X73" s="2">
        <v>53.9</v>
      </c>
      <c r="Y73" s="46"/>
      <c r="Z73" s="43"/>
      <c r="AA73" s="40"/>
      <c r="AB73" s="40"/>
      <c r="AC73" s="43"/>
      <c r="AD73" s="43"/>
      <c r="AE73" s="43"/>
      <c r="AF73" s="43"/>
      <c r="AG73" s="75">
        <v>44685</v>
      </c>
      <c r="AH73" s="75">
        <v>44685</v>
      </c>
      <c r="AI73" s="77">
        <v>44862</v>
      </c>
      <c r="AJ73" s="79">
        <v>44869</v>
      </c>
      <c r="AK73" s="79">
        <v>44869</v>
      </c>
      <c r="AL73" s="57" t="s">
        <v>31</v>
      </c>
      <c r="AM73" s="73">
        <f>1500+9750+3750+14999</f>
        <v>29999</v>
      </c>
      <c r="AN73" s="44"/>
      <c r="AO73" s="44"/>
      <c r="AP73" s="73">
        <f>1491+9714+3712+14970</f>
        <v>29887</v>
      </c>
      <c r="AQ73" s="44"/>
      <c r="AR73" s="44"/>
      <c r="AS73" s="40"/>
      <c r="AT73" s="40"/>
      <c r="AU73" s="40"/>
      <c r="AV73" s="40"/>
      <c r="AW73" s="40"/>
      <c r="AX73" s="40"/>
      <c r="AY73" s="40"/>
      <c r="AZ73" s="45"/>
    </row>
    <row r="74" spans="1:52" s="19" customFormat="1" x14ac:dyDescent="0.2">
      <c r="A74" s="72" t="s">
        <v>264</v>
      </c>
      <c r="B74" s="72" t="s">
        <v>241</v>
      </c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0"/>
      <c r="R74" s="40"/>
      <c r="S74" s="40"/>
      <c r="T74" s="73">
        <v>20000</v>
      </c>
      <c r="U74" s="41"/>
      <c r="V74" s="97" t="s">
        <v>266</v>
      </c>
      <c r="W74" s="42"/>
      <c r="X74" s="2">
        <v>53.9</v>
      </c>
      <c r="Y74" s="46"/>
      <c r="Z74" s="43"/>
      <c r="AA74" s="40"/>
      <c r="AB74" s="40"/>
      <c r="AC74" s="43"/>
      <c r="AD74" s="43"/>
      <c r="AE74" s="43"/>
      <c r="AF74" s="43"/>
      <c r="AG74" s="75">
        <v>44816</v>
      </c>
      <c r="AH74" s="75">
        <v>44816</v>
      </c>
      <c r="AI74" s="78"/>
      <c r="AJ74" s="78"/>
      <c r="AK74" s="78"/>
      <c r="AL74" s="57" t="s">
        <v>31</v>
      </c>
      <c r="AM74" s="73">
        <v>20000</v>
      </c>
      <c r="AN74" s="44"/>
      <c r="AO74" s="44"/>
      <c r="AP74" s="73">
        <v>19500</v>
      </c>
      <c r="AQ74" s="44"/>
      <c r="AR74" s="44"/>
      <c r="AS74" s="40"/>
      <c r="AT74" s="40"/>
      <c r="AU74" s="40"/>
      <c r="AV74" s="40"/>
      <c r="AW74" s="40"/>
      <c r="AX74" s="40"/>
      <c r="AY74" s="40"/>
      <c r="AZ74" s="45"/>
    </row>
    <row r="75" spans="1:52" s="19" customFormat="1" x14ac:dyDescent="0.2">
      <c r="A75" s="72" t="s">
        <v>267</v>
      </c>
      <c r="B75" s="72" t="s">
        <v>214</v>
      </c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0"/>
      <c r="R75" s="40"/>
      <c r="S75" s="40"/>
      <c r="T75" s="73">
        <f>1500+3750+9750+29935</f>
        <v>44935</v>
      </c>
      <c r="U75" s="41"/>
      <c r="V75" s="97" t="s">
        <v>266</v>
      </c>
      <c r="W75" s="42"/>
      <c r="X75" s="2">
        <v>53.9</v>
      </c>
      <c r="Y75" s="46"/>
      <c r="Z75" s="43"/>
      <c r="AA75" s="40"/>
      <c r="AB75" s="40"/>
      <c r="AC75" s="43"/>
      <c r="AD75" s="43"/>
      <c r="AE75" s="43"/>
      <c r="AF75" s="43"/>
      <c r="AG75" s="75">
        <v>44770</v>
      </c>
      <c r="AH75" s="75">
        <v>44770</v>
      </c>
      <c r="AI75" s="77">
        <v>44901</v>
      </c>
      <c r="AJ75" s="77">
        <v>44908</v>
      </c>
      <c r="AK75" s="77">
        <v>44908</v>
      </c>
      <c r="AL75" s="57" t="s">
        <v>31</v>
      </c>
      <c r="AM75" s="73">
        <f>1500+3750+9750+29935</f>
        <v>44935</v>
      </c>
      <c r="AN75" s="44"/>
      <c r="AO75" s="44"/>
      <c r="AP75" s="73">
        <v>44872</v>
      </c>
      <c r="AQ75" s="44"/>
      <c r="AR75" s="44"/>
      <c r="AS75" s="40"/>
      <c r="AT75" s="40"/>
      <c r="AU75" s="40"/>
      <c r="AV75" s="40"/>
      <c r="AW75" s="40"/>
      <c r="AX75" s="40"/>
      <c r="AY75" s="40"/>
      <c r="AZ75" s="45"/>
    </row>
    <row r="76" spans="1:52" s="19" customFormat="1" x14ac:dyDescent="0.2">
      <c r="A76" s="72" t="s">
        <v>141</v>
      </c>
      <c r="B76" s="72" t="s">
        <v>130</v>
      </c>
      <c r="C76" s="40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0"/>
      <c r="R76" s="40"/>
      <c r="S76" s="40"/>
      <c r="T76" s="73">
        <v>3750</v>
      </c>
      <c r="U76" s="41"/>
      <c r="V76" s="78" t="s">
        <v>266</v>
      </c>
      <c r="W76" s="42"/>
      <c r="X76" s="2">
        <v>53.9</v>
      </c>
      <c r="Y76" s="46"/>
      <c r="Z76" s="43"/>
      <c r="AA76" s="40"/>
      <c r="AB76" s="40"/>
      <c r="AC76" s="43"/>
      <c r="AD76" s="43"/>
      <c r="AE76" s="43"/>
      <c r="AF76" s="43"/>
      <c r="AG76" s="75">
        <v>44840</v>
      </c>
      <c r="AH76" s="75">
        <v>44840</v>
      </c>
      <c r="AI76" s="78"/>
      <c r="AJ76" s="78"/>
      <c r="AK76" s="78"/>
      <c r="AL76" s="57" t="s">
        <v>31</v>
      </c>
      <c r="AM76" s="73">
        <v>3750</v>
      </c>
      <c r="AN76" s="44"/>
      <c r="AO76" s="44"/>
      <c r="AP76" s="73">
        <v>3505</v>
      </c>
      <c r="AQ76" s="44"/>
      <c r="AR76" s="44"/>
      <c r="AS76" s="40"/>
      <c r="AT76" s="40"/>
      <c r="AU76" s="40"/>
      <c r="AV76" s="40"/>
      <c r="AW76" s="40"/>
      <c r="AX76" s="40"/>
      <c r="AY76" s="40"/>
      <c r="AZ76" s="45"/>
    </row>
    <row r="77" spans="1:52" s="19" customFormat="1" x14ac:dyDescent="0.2">
      <c r="A77" s="72" t="s">
        <v>152</v>
      </c>
      <c r="B77" s="72" t="s">
        <v>124</v>
      </c>
      <c r="C77" s="40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0"/>
      <c r="R77" s="40"/>
      <c r="S77" s="40"/>
      <c r="T77" s="73">
        <v>14999</v>
      </c>
      <c r="U77" s="41"/>
      <c r="V77" s="78" t="s">
        <v>266</v>
      </c>
      <c r="W77" s="42"/>
      <c r="X77" s="2">
        <v>53.9</v>
      </c>
      <c r="Y77" s="46"/>
      <c r="Z77" s="43"/>
      <c r="AA77" s="40"/>
      <c r="AB77" s="40"/>
      <c r="AC77" s="43"/>
      <c r="AD77" s="43"/>
      <c r="AE77" s="43"/>
      <c r="AF77" s="43"/>
      <c r="AG77" s="75">
        <v>44840</v>
      </c>
      <c r="AH77" s="75">
        <v>44840</v>
      </c>
      <c r="AI77" s="78"/>
      <c r="AJ77" s="78"/>
      <c r="AK77" s="78"/>
      <c r="AL77" s="57" t="s">
        <v>31</v>
      </c>
      <c r="AM77" s="73">
        <v>14999</v>
      </c>
      <c r="AN77" s="44"/>
      <c r="AO77" s="44"/>
      <c r="AP77" s="73">
        <v>14900</v>
      </c>
      <c r="AQ77" s="44"/>
      <c r="AR77" s="44"/>
      <c r="AS77" s="40"/>
      <c r="AT77" s="40"/>
      <c r="AU77" s="40"/>
      <c r="AV77" s="40"/>
      <c r="AW77" s="40"/>
      <c r="AX77" s="40"/>
      <c r="AY77" s="40"/>
      <c r="AZ77" s="45"/>
    </row>
    <row r="78" spans="1:52" s="19" customFormat="1" x14ac:dyDescent="0.2">
      <c r="A78" s="72" t="s">
        <v>142</v>
      </c>
      <c r="B78" s="72" t="s">
        <v>116</v>
      </c>
      <c r="C78" s="40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0"/>
      <c r="R78" s="40"/>
      <c r="S78" s="40"/>
      <c r="T78" s="73">
        <v>1500</v>
      </c>
      <c r="U78" s="41"/>
      <c r="V78" s="97" t="s">
        <v>266</v>
      </c>
      <c r="W78" s="42"/>
      <c r="X78" s="2">
        <v>53.9</v>
      </c>
      <c r="Y78" s="46"/>
      <c r="Z78" s="43"/>
      <c r="AA78" s="40"/>
      <c r="AB78" s="40"/>
      <c r="AC78" s="43"/>
      <c r="AD78" s="43"/>
      <c r="AE78" s="43"/>
      <c r="AF78" s="43"/>
      <c r="AG78" s="75">
        <v>44840</v>
      </c>
      <c r="AH78" s="75">
        <v>44840</v>
      </c>
      <c r="AI78" s="78"/>
      <c r="AJ78" s="78"/>
      <c r="AK78" s="78"/>
      <c r="AL78" s="57" t="s">
        <v>31</v>
      </c>
      <c r="AM78" s="73">
        <v>1500</v>
      </c>
      <c r="AN78" s="44"/>
      <c r="AO78" s="44"/>
      <c r="AP78" s="73">
        <v>1470</v>
      </c>
      <c r="AQ78" s="44"/>
      <c r="AR78" s="44"/>
      <c r="AS78" s="40"/>
      <c r="AT78" s="40"/>
      <c r="AU78" s="40"/>
      <c r="AV78" s="40"/>
      <c r="AW78" s="40"/>
      <c r="AX78" s="40"/>
      <c r="AY78" s="40"/>
      <c r="AZ78" s="45"/>
    </row>
    <row r="79" spans="1:52" s="19" customFormat="1" x14ac:dyDescent="0.2">
      <c r="A79" s="72" t="s">
        <v>143</v>
      </c>
      <c r="B79" s="72" t="s">
        <v>185</v>
      </c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0"/>
      <c r="R79" s="40"/>
      <c r="S79" s="40"/>
      <c r="T79" s="73">
        <v>19750</v>
      </c>
      <c r="U79" s="41"/>
      <c r="V79" s="165" t="s">
        <v>266</v>
      </c>
      <c r="W79" s="42"/>
      <c r="X79" s="2">
        <v>53.9</v>
      </c>
      <c r="Y79" s="46"/>
      <c r="Z79" s="43"/>
      <c r="AA79" s="40"/>
      <c r="AB79" s="40"/>
      <c r="AC79" s="43"/>
      <c r="AD79" s="43"/>
      <c r="AE79" s="43"/>
      <c r="AF79" s="43"/>
      <c r="AG79" s="75">
        <v>44840</v>
      </c>
      <c r="AH79" s="75">
        <v>44840</v>
      </c>
      <c r="AI79" s="97"/>
      <c r="AJ79" s="97"/>
      <c r="AK79" s="97"/>
      <c r="AL79" s="57" t="s">
        <v>31</v>
      </c>
      <c r="AM79" s="158">
        <v>19750</v>
      </c>
      <c r="AN79" s="161"/>
      <c r="AO79" s="161"/>
      <c r="AP79" s="73">
        <v>19500</v>
      </c>
      <c r="AQ79" s="44"/>
      <c r="AR79" s="44"/>
      <c r="AS79" s="40"/>
      <c r="AT79" s="40"/>
      <c r="AU79" s="40"/>
      <c r="AV79" s="40"/>
      <c r="AW79" s="40"/>
      <c r="AX79" s="40"/>
      <c r="AY79" s="40"/>
      <c r="AZ79" s="45"/>
    </row>
    <row r="80" spans="1:52" s="19" customFormat="1" ht="12.75" x14ac:dyDescent="0.2">
      <c r="A80" s="245" t="s">
        <v>45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54">
        <f>SUM(AM49:AM79)</f>
        <v>1517482</v>
      </c>
      <c r="AN80" s="255"/>
      <c r="AO80" s="264"/>
      <c r="AP80" s="247"/>
      <c r="AQ80" s="247"/>
      <c r="AR80" s="247"/>
    </row>
    <row r="85" spans="22:53" ht="15" x14ac:dyDescent="0.2">
      <c r="V85" s="11" t="s">
        <v>46</v>
      </c>
      <c r="W85" s="11"/>
      <c r="X85" s="66"/>
      <c r="Y85" s="21"/>
      <c r="Z85" s="21"/>
      <c r="AA85" s="21"/>
      <c r="AB85" s="21"/>
      <c r="AC85" s="21"/>
      <c r="AD85" s="21"/>
      <c r="AE85" s="21"/>
      <c r="AF85" s="21"/>
      <c r="AG85" s="12" t="s">
        <v>47</v>
      </c>
      <c r="AI85" s="21"/>
      <c r="AJ85" s="51"/>
      <c r="AK85" s="21"/>
      <c r="AL85" s="59"/>
      <c r="AM85" s="39"/>
      <c r="AN85" s="23"/>
      <c r="AO85" s="23"/>
      <c r="AP85" s="39"/>
      <c r="AQ85" s="22"/>
      <c r="AR85" s="24" t="s">
        <v>48</v>
      </c>
      <c r="AS85" s="25"/>
      <c r="AU85" s="26"/>
      <c r="AV85" s="27"/>
      <c r="AW85" s="27"/>
      <c r="AX85" s="27"/>
      <c r="AY85" s="26"/>
      <c r="AZ85" s="26"/>
      <c r="BA85" s="26"/>
    </row>
    <row r="86" spans="22:53" ht="15" x14ac:dyDescent="0.2">
      <c r="V86" s="11"/>
      <c r="W86" s="11"/>
      <c r="X86" s="67"/>
      <c r="Y86" s="11"/>
      <c r="Z86" s="11"/>
      <c r="AA86" s="11"/>
      <c r="AB86" s="11"/>
      <c r="AC86" s="11"/>
      <c r="AD86" s="11"/>
      <c r="AE86" s="22"/>
      <c r="AF86" s="22"/>
      <c r="AG86" s="27"/>
      <c r="AI86" s="21"/>
      <c r="AJ86" s="52"/>
      <c r="AK86" s="21"/>
      <c r="AL86" s="59"/>
      <c r="AM86" s="39"/>
      <c r="AN86" s="23"/>
      <c r="AO86" s="23"/>
      <c r="AP86" s="39"/>
      <c r="AQ86" s="22"/>
      <c r="AR86" s="11"/>
      <c r="AS86" s="25"/>
      <c r="AU86" s="28"/>
      <c r="AV86" s="11"/>
      <c r="AW86" s="11"/>
      <c r="AX86" s="11"/>
      <c r="AY86" s="11"/>
      <c r="AZ86" s="11"/>
      <c r="BA86" s="11"/>
    </row>
    <row r="87" spans="22:53" ht="15" x14ac:dyDescent="0.2">
      <c r="V87" s="11"/>
      <c r="W87" s="11"/>
      <c r="X87" s="67"/>
      <c r="Y87" s="11"/>
      <c r="Z87" s="11"/>
      <c r="AA87" s="11"/>
      <c r="AB87" s="11"/>
      <c r="AC87" s="11"/>
      <c r="AD87" s="11"/>
      <c r="AE87" s="11"/>
      <c r="AF87" s="11"/>
      <c r="AG87" s="25"/>
      <c r="AI87" s="21"/>
      <c r="AJ87" s="51"/>
      <c r="AK87" s="21"/>
      <c r="AL87" s="59"/>
      <c r="AM87" s="39"/>
      <c r="AN87" s="23"/>
      <c r="AO87" s="23"/>
      <c r="AP87" s="39"/>
      <c r="AQ87" s="22"/>
      <c r="AR87" s="11"/>
      <c r="AS87" s="25"/>
      <c r="AU87" s="28"/>
      <c r="AV87" s="11"/>
      <c r="AW87" s="11"/>
      <c r="AX87" s="11"/>
      <c r="AY87" s="11"/>
      <c r="AZ87" s="11"/>
      <c r="BA87" s="11"/>
    </row>
    <row r="88" spans="22:53" ht="15" x14ac:dyDescent="0.2">
      <c r="V88" s="21" t="s">
        <v>49</v>
      </c>
      <c r="W88" s="21"/>
      <c r="X88" s="66"/>
      <c r="Y88" s="21"/>
      <c r="Z88" s="21"/>
      <c r="AA88" s="21"/>
      <c r="AB88" s="21"/>
      <c r="AC88" s="21"/>
      <c r="AD88" s="21"/>
      <c r="AE88" s="21"/>
      <c r="AF88" s="21"/>
      <c r="AI88" s="65"/>
      <c r="AJ88" s="20"/>
      <c r="AL88" s="20"/>
      <c r="AM88" s="20"/>
      <c r="AP88" s="20"/>
      <c r="AU88" s="28"/>
      <c r="AV88" s="21"/>
      <c r="AW88" s="21"/>
      <c r="AX88" s="21"/>
      <c r="AY88" s="21"/>
      <c r="AZ88" s="21"/>
      <c r="BA88" s="21"/>
    </row>
    <row r="89" spans="22:53" ht="12.75" x14ac:dyDescent="0.2">
      <c r="AI89" s="65"/>
      <c r="AJ89" s="20"/>
      <c r="AL89" s="20"/>
      <c r="AM89" s="20"/>
      <c r="AP89" s="20"/>
    </row>
    <row r="90" spans="22:53" ht="12.75" x14ac:dyDescent="0.2">
      <c r="AI90" s="65"/>
      <c r="AJ90" s="20"/>
      <c r="AL90" s="20"/>
      <c r="AM90" s="20"/>
      <c r="AP90" s="20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44:AL44"/>
    <mergeCell ref="AM44:AO44"/>
    <mergeCell ref="AP44:AR44"/>
    <mergeCell ref="A45:AL45"/>
    <mergeCell ref="AM45:AO45"/>
    <mergeCell ref="AP45:AR45"/>
    <mergeCell ref="A46:AL46"/>
    <mergeCell ref="AM46:AR46"/>
    <mergeCell ref="A80:AL80"/>
    <mergeCell ref="AM80:AO80"/>
    <mergeCell ref="AP80:AR8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31"/>
  <sheetViews>
    <sheetView topLeftCell="AE13" workbookViewId="0">
      <selection activeCell="W17" sqref="W17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3" width="13.42578125" style="20" customWidth="1"/>
    <col min="24" max="24" width="14.42578125" style="65" customWidth="1"/>
    <col min="25" max="25" width="20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2.7109375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269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119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thickBot="1" x14ac:dyDescent="0.25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6" customFormat="1" ht="12.75" x14ac:dyDescent="0.2">
      <c r="A9" s="72" t="s">
        <v>146</v>
      </c>
      <c r="B9" s="72" t="s">
        <v>121</v>
      </c>
      <c r="C9" s="85"/>
      <c r="D9" s="85"/>
      <c r="E9" s="85"/>
      <c r="F9" s="85"/>
      <c r="G9" s="85"/>
      <c r="H9" s="85"/>
      <c r="I9" s="85"/>
      <c r="J9" s="86"/>
      <c r="K9" s="85"/>
      <c r="L9" s="85"/>
      <c r="M9" s="85"/>
      <c r="N9" s="85"/>
      <c r="O9" s="85"/>
      <c r="P9" s="85"/>
      <c r="Q9" s="85"/>
      <c r="R9" s="87"/>
      <c r="S9" s="87"/>
      <c r="T9" s="73">
        <v>15000</v>
      </c>
      <c r="U9" s="91"/>
      <c r="V9" s="84" t="s">
        <v>174</v>
      </c>
      <c r="W9" s="92"/>
      <c r="X9" s="92">
        <v>53.9</v>
      </c>
      <c r="Y9" s="88"/>
      <c r="Z9" s="85"/>
      <c r="AA9" s="85"/>
      <c r="AB9" s="85"/>
      <c r="AC9" s="85"/>
      <c r="AD9" s="85"/>
      <c r="AE9" s="86"/>
      <c r="AF9" s="86"/>
      <c r="AG9" s="75">
        <v>44656</v>
      </c>
      <c r="AH9" s="75">
        <v>44656</v>
      </c>
      <c r="AI9" s="77">
        <v>44707</v>
      </c>
      <c r="AJ9" s="79">
        <v>44714</v>
      </c>
      <c r="AK9" s="79">
        <v>44714</v>
      </c>
      <c r="AL9" s="92" t="s">
        <v>31</v>
      </c>
      <c r="AM9" s="118">
        <v>15000</v>
      </c>
      <c r="AN9" s="93"/>
      <c r="AO9" s="93"/>
      <c r="AP9" s="118">
        <v>14708</v>
      </c>
      <c r="AQ9" s="93"/>
      <c r="AR9" s="93"/>
      <c r="AS9" s="92"/>
      <c r="AT9" s="91"/>
      <c r="AU9" s="91"/>
      <c r="AV9" s="91"/>
      <c r="AW9" s="91"/>
      <c r="AX9" s="91"/>
      <c r="AY9" s="91"/>
      <c r="AZ9" s="91"/>
    </row>
    <row r="10" spans="1:52" s="16" customFormat="1" ht="12.75" x14ac:dyDescent="0.2">
      <c r="A10" s="72" t="s">
        <v>139</v>
      </c>
      <c r="B10" s="72" t="s">
        <v>114</v>
      </c>
      <c r="C10" s="122"/>
      <c r="D10" s="122"/>
      <c r="E10" s="122"/>
      <c r="F10" s="122"/>
      <c r="G10" s="122"/>
      <c r="H10" s="122"/>
      <c r="I10" s="122"/>
      <c r="J10" s="175"/>
      <c r="K10" s="122"/>
      <c r="L10" s="122"/>
      <c r="M10" s="122"/>
      <c r="N10" s="122"/>
      <c r="O10" s="122"/>
      <c r="P10" s="122"/>
      <c r="Q10" s="122"/>
      <c r="R10" s="123"/>
      <c r="S10" s="123"/>
      <c r="T10" s="73">
        <v>46000</v>
      </c>
      <c r="U10" s="122"/>
      <c r="V10" s="84" t="s">
        <v>174</v>
      </c>
      <c r="W10" s="123"/>
      <c r="X10" s="92">
        <v>53.9</v>
      </c>
      <c r="Y10" s="124"/>
      <c r="Z10" s="122"/>
      <c r="AA10" s="122"/>
      <c r="AB10" s="122"/>
      <c r="AC10" s="122"/>
      <c r="AD10" s="122"/>
      <c r="AE10" s="175"/>
      <c r="AF10" s="175"/>
      <c r="AG10" s="76">
        <v>44701</v>
      </c>
      <c r="AH10" s="76">
        <v>44701</v>
      </c>
      <c r="AI10" s="77">
        <v>44754</v>
      </c>
      <c r="AJ10" s="79">
        <v>44761</v>
      </c>
      <c r="AK10" s="79">
        <v>44761</v>
      </c>
      <c r="AL10" s="92" t="s">
        <v>31</v>
      </c>
      <c r="AM10" s="118">
        <v>46000</v>
      </c>
      <c r="AN10" s="93"/>
      <c r="AO10" s="93"/>
      <c r="AP10" s="118">
        <v>45055</v>
      </c>
      <c r="AQ10" s="125"/>
      <c r="AR10" s="180"/>
      <c r="AS10" s="123"/>
      <c r="AT10" s="122"/>
      <c r="AU10" s="122"/>
      <c r="AV10" s="122"/>
      <c r="AW10" s="122"/>
      <c r="AX10" s="122"/>
      <c r="AY10" s="122"/>
      <c r="AZ10" s="91"/>
    </row>
    <row r="11" spans="1:52" s="16" customFormat="1" ht="12.75" x14ac:dyDescent="0.2">
      <c r="A11" s="72" t="s">
        <v>173</v>
      </c>
      <c r="B11" s="72" t="s">
        <v>113</v>
      </c>
      <c r="C11" s="122"/>
      <c r="D11" s="122"/>
      <c r="E11" s="122"/>
      <c r="F11" s="122"/>
      <c r="G11" s="122"/>
      <c r="H11" s="122"/>
      <c r="I11" s="122"/>
      <c r="J11" s="175"/>
      <c r="K11" s="122"/>
      <c r="L11" s="122"/>
      <c r="M11" s="122"/>
      <c r="N11" s="122"/>
      <c r="O11" s="122"/>
      <c r="P11" s="122"/>
      <c r="Q11" s="122"/>
      <c r="R11" s="123"/>
      <c r="S11" s="123"/>
      <c r="T11" s="73">
        <f>53250+10000</f>
        <v>63250</v>
      </c>
      <c r="U11" s="122"/>
      <c r="V11" s="84" t="s">
        <v>174</v>
      </c>
      <c r="W11" s="123"/>
      <c r="X11" s="92">
        <v>53.9</v>
      </c>
      <c r="Y11" s="124"/>
      <c r="Z11" s="122"/>
      <c r="AA11" s="122"/>
      <c r="AB11" s="122"/>
      <c r="AC11" s="122"/>
      <c r="AD11" s="122"/>
      <c r="AE11" s="175"/>
      <c r="AF11" s="175"/>
      <c r="AG11" s="75">
        <v>44705</v>
      </c>
      <c r="AH11" s="75">
        <v>44705</v>
      </c>
      <c r="AI11" s="77">
        <v>44753</v>
      </c>
      <c r="AJ11" s="79">
        <v>44760</v>
      </c>
      <c r="AK11" s="79">
        <v>44760</v>
      </c>
      <c r="AL11" s="92" t="s">
        <v>31</v>
      </c>
      <c r="AM11" s="118">
        <f>53250+10000</f>
        <v>63250</v>
      </c>
      <c r="AN11" s="93"/>
      <c r="AO11" s="93"/>
      <c r="AP11" s="118">
        <v>61976</v>
      </c>
      <c r="AQ11" s="125"/>
      <c r="AR11" s="180"/>
      <c r="AS11" s="123"/>
      <c r="AT11" s="122"/>
      <c r="AU11" s="122"/>
      <c r="AV11" s="122"/>
      <c r="AW11" s="122"/>
      <c r="AX11" s="122"/>
      <c r="AY11" s="122"/>
      <c r="AZ11" s="91"/>
    </row>
    <row r="12" spans="1:52" s="16" customFormat="1" ht="12.75" x14ac:dyDescent="0.2">
      <c r="A12" s="72" t="s">
        <v>146</v>
      </c>
      <c r="B12" s="72" t="s">
        <v>121</v>
      </c>
      <c r="C12" s="122"/>
      <c r="D12" s="122"/>
      <c r="E12" s="122"/>
      <c r="F12" s="122"/>
      <c r="G12" s="122"/>
      <c r="H12" s="122"/>
      <c r="I12" s="122"/>
      <c r="J12" s="175"/>
      <c r="K12" s="122"/>
      <c r="L12" s="122"/>
      <c r="M12" s="122"/>
      <c r="N12" s="122"/>
      <c r="O12" s="122"/>
      <c r="P12" s="122"/>
      <c r="Q12" s="122"/>
      <c r="R12" s="123"/>
      <c r="S12" s="123"/>
      <c r="T12" s="73">
        <v>15000</v>
      </c>
      <c r="U12" s="122"/>
      <c r="V12" s="84" t="s">
        <v>174</v>
      </c>
      <c r="W12" s="123"/>
      <c r="X12" s="92">
        <v>53.9</v>
      </c>
      <c r="Y12" s="124"/>
      <c r="Z12" s="122"/>
      <c r="AA12" s="122"/>
      <c r="AB12" s="122"/>
      <c r="AC12" s="122"/>
      <c r="AD12" s="122"/>
      <c r="AE12" s="175"/>
      <c r="AF12" s="175"/>
      <c r="AG12" s="75">
        <v>44727</v>
      </c>
      <c r="AH12" s="75">
        <v>44727</v>
      </c>
      <c r="AI12" s="77">
        <v>44764</v>
      </c>
      <c r="AJ12" s="79">
        <v>44771</v>
      </c>
      <c r="AK12" s="79">
        <v>44771</v>
      </c>
      <c r="AL12" s="92" t="s">
        <v>31</v>
      </c>
      <c r="AM12" s="118">
        <v>15000</v>
      </c>
      <c r="AN12" s="93"/>
      <c r="AO12" s="93"/>
      <c r="AP12" s="118">
        <v>14708</v>
      </c>
      <c r="AQ12" s="125"/>
      <c r="AR12" s="180"/>
      <c r="AS12" s="123"/>
      <c r="AT12" s="122"/>
      <c r="AU12" s="122"/>
      <c r="AV12" s="122"/>
      <c r="AW12" s="122"/>
      <c r="AX12" s="122"/>
      <c r="AY12" s="122"/>
      <c r="AZ12" s="91"/>
    </row>
    <row r="13" spans="1:52" s="16" customFormat="1" ht="12.75" x14ac:dyDescent="0.2">
      <c r="A13" s="72" t="s">
        <v>146</v>
      </c>
      <c r="B13" s="72" t="s">
        <v>217</v>
      </c>
      <c r="C13" s="122"/>
      <c r="D13" s="122"/>
      <c r="E13" s="122"/>
      <c r="F13" s="122"/>
      <c r="G13" s="122"/>
      <c r="H13" s="122"/>
      <c r="I13" s="122"/>
      <c r="J13" s="175"/>
      <c r="K13" s="122"/>
      <c r="L13" s="122"/>
      <c r="M13" s="122"/>
      <c r="N13" s="122"/>
      <c r="O13" s="122"/>
      <c r="P13" s="122"/>
      <c r="Q13" s="122"/>
      <c r="R13" s="123"/>
      <c r="S13" s="123"/>
      <c r="T13" s="73">
        <v>15000</v>
      </c>
      <c r="U13" s="122"/>
      <c r="V13" s="84" t="s">
        <v>174</v>
      </c>
      <c r="W13" s="123"/>
      <c r="X13" s="92">
        <v>53.9</v>
      </c>
      <c r="Y13" s="124"/>
      <c r="Z13" s="122"/>
      <c r="AA13" s="122"/>
      <c r="AB13" s="122"/>
      <c r="AC13" s="122"/>
      <c r="AD13" s="122"/>
      <c r="AE13" s="175"/>
      <c r="AF13" s="175"/>
      <c r="AG13" s="75">
        <v>44824</v>
      </c>
      <c r="AH13" s="75">
        <v>44824</v>
      </c>
      <c r="AI13" s="75">
        <v>44887</v>
      </c>
      <c r="AJ13" s="75">
        <v>44894</v>
      </c>
      <c r="AK13" s="75">
        <v>44894</v>
      </c>
      <c r="AL13" s="92" t="s">
        <v>31</v>
      </c>
      <c r="AM13" s="118">
        <v>15000</v>
      </c>
      <c r="AN13" s="93"/>
      <c r="AO13" s="93"/>
      <c r="AP13" s="118">
        <v>14708</v>
      </c>
      <c r="AQ13" s="125"/>
      <c r="AR13" s="180"/>
      <c r="AS13" s="123"/>
      <c r="AT13" s="122"/>
      <c r="AU13" s="122"/>
      <c r="AV13" s="122"/>
      <c r="AW13" s="122"/>
      <c r="AX13" s="122"/>
      <c r="AY13" s="122"/>
      <c r="AZ13" s="91"/>
    </row>
    <row r="14" spans="1:52" ht="12.75" x14ac:dyDescent="0.2">
      <c r="A14" s="248" t="s">
        <v>41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69">
        <f>SUM(AM9:AM13)</f>
        <v>154250</v>
      </c>
      <c r="AN14" s="269"/>
      <c r="AO14" s="269"/>
      <c r="AP14" s="250"/>
      <c r="AQ14" s="250"/>
      <c r="AR14" s="251"/>
      <c r="AS14" s="103"/>
      <c r="AT14" s="103"/>
      <c r="AU14" s="103"/>
      <c r="AV14" s="103"/>
      <c r="AW14" s="103"/>
      <c r="AX14" s="103"/>
      <c r="AY14" s="103"/>
      <c r="AZ14" s="103"/>
    </row>
    <row r="15" spans="1:52" ht="12.75" x14ac:dyDescent="0.2">
      <c r="A15" s="252" t="s">
        <v>42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3"/>
      <c r="AN15" s="253"/>
      <c r="AO15" s="253"/>
      <c r="AP15" s="254">
        <f>SUM(AP9:AP14)</f>
        <v>151155</v>
      </c>
      <c r="AQ15" s="255"/>
      <c r="AR15" s="255"/>
      <c r="AS15" s="103"/>
      <c r="AT15" s="103"/>
      <c r="AU15" s="103"/>
      <c r="AV15" s="103"/>
      <c r="AW15" s="103"/>
      <c r="AX15" s="103"/>
      <c r="AY15" s="103"/>
      <c r="AZ15" s="103"/>
    </row>
    <row r="16" spans="1:52" ht="12.75" x14ac:dyDescent="0.2">
      <c r="A16" s="242" t="s">
        <v>43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3">
        <f>AM14-AP15</f>
        <v>3095</v>
      </c>
      <c r="AN16" s="244"/>
      <c r="AO16" s="244"/>
      <c r="AP16" s="244"/>
      <c r="AQ16" s="244"/>
      <c r="AR16" s="244"/>
      <c r="AS16" s="103"/>
      <c r="AT16" s="103"/>
      <c r="AU16" s="103"/>
      <c r="AV16" s="103"/>
      <c r="AW16" s="103"/>
      <c r="AX16" s="103"/>
      <c r="AY16" s="103"/>
      <c r="AZ16" s="103"/>
    </row>
    <row r="17" spans="1:53" ht="15" thickBot="1" x14ac:dyDescent="0.25"/>
    <row r="18" spans="1:53" s="19" customFormat="1" ht="26.25" customHeight="1" thickBot="1" x14ac:dyDescent="0.25">
      <c r="A18" s="68" t="s">
        <v>44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64"/>
      <c r="Y18" s="31"/>
      <c r="Z18" s="31"/>
      <c r="AA18" s="31"/>
      <c r="AB18" s="31"/>
      <c r="AC18" s="31"/>
      <c r="AD18" s="31"/>
      <c r="AE18" s="31"/>
      <c r="AF18" s="31"/>
      <c r="AG18" s="31"/>
      <c r="AH18" s="62"/>
      <c r="AI18" s="31"/>
      <c r="AJ18" s="50"/>
      <c r="AK18" s="31"/>
      <c r="AL18" s="55"/>
      <c r="AM18" s="37"/>
      <c r="AN18" s="31"/>
      <c r="AO18" s="31"/>
      <c r="AP18" s="37"/>
      <c r="AQ18" s="31"/>
      <c r="AR18" s="31"/>
      <c r="AS18" s="31"/>
      <c r="AT18" s="31"/>
      <c r="AU18" s="31"/>
      <c r="AV18" s="31"/>
      <c r="AW18" s="31"/>
      <c r="AX18" s="31"/>
      <c r="AY18" s="31"/>
      <c r="AZ18" s="32"/>
    </row>
    <row r="19" spans="1:53" s="19" customFormat="1" x14ac:dyDescent="0.2">
      <c r="A19" s="72"/>
      <c r="B19" s="72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118"/>
      <c r="U19" s="99"/>
      <c r="V19" s="72"/>
      <c r="W19" s="2"/>
      <c r="X19" s="2"/>
      <c r="Y19" s="46"/>
      <c r="Z19" s="6"/>
      <c r="AA19" s="4"/>
      <c r="AB19" s="4"/>
      <c r="AC19" s="6"/>
      <c r="AD19" s="6"/>
      <c r="AE19" s="6"/>
      <c r="AF19" s="6"/>
      <c r="AG19" s="75"/>
      <c r="AH19" s="75"/>
      <c r="AI19" s="77"/>
      <c r="AJ19" s="79"/>
      <c r="AK19" s="79"/>
      <c r="AL19" s="57"/>
      <c r="AM19" s="118"/>
      <c r="AN19" s="96"/>
      <c r="AO19" s="96"/>
      <c r="AP19" s="118"/>
      <c r="AQ19" s="7"/>
      <c r="AR19" s="7"/>
      <c r="AS19" s="4"/>
      <c r="AT19" s="4"/>
      <c r="AU19" s="4"/>
      <c r="AV19" s="4"/>
      <c r="AW19" s="4"/>
      <c r="AX19" s="4"/>
      <c r="AY19" s="4"/>
      <c r="AZ19" s="8"/>
    </row>
    <row r="20" spans="1:53" s="19" customFormat="1" x14ac:dyDescent="0.2">
      <c r="A20" s="105"/>
      <c r="B20" s="105"/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0"/>
      <c r="S20" s="40"/>
      <c r="T20" s="117"/>
      <c r="U20" s="41"/>
      <c r="V20" s="72"/>
      <c r="W20" s="42"/>
      <c r="X20" s="42"/>
      <c r="Y20" s="46"/>
      <c r="Z20" s="43"/>
      <c r="AA20" s="40"/>
      <c r="AB20" s="40"/>
      <c r="AC20" s="43"/>
      <c r="AD20" s="43"/>
      <c r="AE20" s="43"/>
      <c r="AF20" s="43"/>
      <c r="AG20" s="107"/>
      <c r="AH20" s="107"/>
      <c r="AI20" s="75"/>
      <c r="AJ20" s="79"/>
      <c r="AK20" s="79"/>
      <c r="AL20" s="58"/>
      <c r="AM20" s="117"/>
      <c r="AN20" s="96"/>
      <c r="AO20" s="96"/>
      <c r="AP20" s="117"/>
      <c r="AQ20" s="44"/>
      <c r="AR20" s="44"/>
      <c r="AS20" s="40"/>
      <c r="AT20" s="40"/>
      <c r="AU20" s="40"/>
      <c r="AV20" s="40"/>
      <c r="AW20" s="40"/>
      <c r="AX20" s="40"/>
      <c r="AY20" s="40"/>
      <c r="AZ20" s="45"/>
    </row>
    <row r="21" spans="1:53" s="19" customFormat="1" ht="12.75" x14ac:dyDescent="0.2">
      <c r="A21" s="245" t="s">
        <v>45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3"/>
      <c r="AN21" s="244"/>
      <c r="AO21" s="273"/>
      <c r="AP21" s="247"/>
      <c r="AQ21" s="247"/>
      <c r="AR21" s="247"/>
    </row>
    <row r="26" spans="1:53" ht="15" x14ac:dyDescent="0.2">
      <c r="V26" s="11" t="s">
        <v>46</v>
      </c>
      <c r="W26" s="11"/>
      <c r="X26" s="66"/>
      <c r="Y26" s="21"/>
      <c r="Z26" s="21"/>
      <c r="AA26" s="21"/>
      <c r="AB26" s="21"/>
      <c r="AC26" s="21"/>
      <c r="AD26" s="21"/>
      <c r="AE26" s="21"/>
      <c r="AF26" s="21"/>
      <c r="AG26" s="12" t="s">
        <v>47</v>
      </c>
      <c r="AI26" s="21"/>
      <c r="AJ26" s="51"/>
      <c r="AK26" s="21"/>
      <c r="AL26" s="59"/>
      <c r="AM26" s="39"/>
      <c r="AN26" s="23"/>
      <c r="AO26" s="23"/>
      <c r="AP26" s="39"/>
      <c r="AQ26" s="22"/>
      <c r="AR26" s="24" t="s">
        <v>48</v>
      </c>
      <c r="AS26" s="25"/>
      <c r="AU26" s="26"/>
      <c r="AV26" s="27"/>
      <c r="AW26" s="27"/>
      <c r="AX26" s="27"/>
      <c r="AY26" s="26"/>
      <c r="AZ26" s="26"/>
      <c r="BA26" s="26"/>
    </row>
    <row r="27" spans="1:53" ht="15" x14ac:dyDescent="0.2">
      <c r="V27" s="11"/>
      <c r="W27" s="11"/>
      <c r="X27" s="67"/>
      <c r="Y27" s="11"/>
      <c r="Z27" s="11"/>
      <c r="AA27" s="11"/>
      <c r="AB27" s="11"/>
      <c r="AC27" s="11"/>
      <c r="AD27" s="11"/>
      <c r="AE27" s="22"/>
      <c r="AF27" s="22"/>
      <c r="AG27" s="27"/>
      <c r="AI27" s="21"/>
      <c r="AJ27" s="52"/>
      <c r="AK27" s="21"/>
      <c r="AL27" s="59"/>
      <c r="AM27" s="39"/>
      <c r="AN27" s="23"/>
      <c r="AO27" s="23"/>
      <c r="AP27" s="39"/>
      <c r="AQ27" s="22"/>
      <c r="AR27" s="11"/>
      <c r="AS27" s="25"/>
      <c r="AU27" s="28"/>
      <c r="AV27" s="11"/>
      <c r="AW27" s="11"/>
      <c r="AX27" s="11"/>
      <c r="AY27" s="11"/>
      <c r="AZ27" s="11"/>
      <c r="BA27" s="11"/>
    </row>
    <row r="28" spans="1:53" ht="15" x14ac:dyDescent="0.2">
      <c r="V28" s="11"/>
      <c r="W28" s="11"/>
      <c r="X28" s="67"/>
      <c r="Y28" s="11"/>
      <c r="Z28" s="11"/>
      <c r="AA28" s="11"/>
      <c r="AB28" s="11"/>
      <c r="AC28" s="11"/>
      <c r="AD28" s="11"/>
      <c r="AE28" s="11"/>
      <c r="AF28" s="11"/>
      <c r="AG28" s="25"/>
      <c r="AI28" s="21"/>
      <c r="AJ28" s="51"/>
      <c r="AK28" s="21"/>
      <c r="AL28" s="59"/>
      <c r="AM28" s="39"/>
      <c r="AN28" s="23"/>
      <c r="AO28" s="23"/>
      <c r="AP28" s="39"/>
      <c r="AQ28" s="22"/>
      <c r="AR28" s="11"/>
      <c r="AS28" s="25"/>
      <c r="AU28" s="28"/>
      <c r="AV28" s="11"/>
      <c r="AW28" s="11"/>
      <c r="AX28" s="11"/>
      <c r="AY28" s="11"/>
      <c r="AZ28" s="11"/>
      <c r="BA28" s="11"/>
    </row>
    <row r="29" spans="1:53" ht="15" x14ac:dyDescent="0.2">
      <c r="V29" s="20" t="s">
        <v>178</v>
      </c>
      <c r="AG29" s="20" t="s">
        <v>180</v>
      </c>
      <c r="AI29" s="21"/>
      <c r="AJ29" s="51"/>
      <c r="AK29" s="21"/>
      <c r="AL29" s="59"/>
      <c r="AM29" s="39"/>
      <c r="AN29" s="23"/>
      <c r="AO29" s="23"/>
      <c r="AP29" s="39"/>
      <c r="AQ29" s="22"/>
      <c r="AR29" s="21" t="s">
        <v>50</v>
      </c>
      <c r="AS29" s="25"/>
      <c r="AU29" s="28"/>
      <c r="AV29" s="21"/>
      <c r="AW29" s="21"/>
      <c r="AX29" s="21"/>
      <c r="AY29" s="21"/>
      <c r="AZ29" s="21"/>
      <c r="BA29" s="21"/>
    </row>
    <row r="30" spans="1:53" x14ac:dyDescent="0.2">
      <c r="V30" s="20" t="s">
        <v>177</v>
      </c>
      <c r="AG30" s="20" t="s">
        <v>181</v>
      </c>
    </row>
    <row r="31" spans="1:53" x14ac:dyDescent="0.2">
      <c r="V31" s="20" t="s">
        <v>179</v>
      </c>
      <c r="AG31" s="20" t="s">
        <v>182</v>
      </c>
    </row>
  </sheetData>
  <mergeCells count="29">
    <mergeCell ref="A16:AL16"/>
    <mergeCell ref="AM16:AR16"/>
    <mergeCell ref="A21:AL21"/>
    <mergeCell ref="AM21:AO21"/>
    <mergeCell ref="AP21:AR21"/>
    <mergeCell ref="A14:AL14"/>
    <mergeCell ref="AM14:AO14"/>
    <mergeCell ref="AP14:AR14"/>
    <mergeCell ref="A15:AL15"/>
    <mergeCell ref="AM15:AO15"/>
    <mergeCell ref="AP15:AR15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ABFAB454-2C4E-4241-A675-43DFC42EE8D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W19:W20</xm:sqref>
        </x14:conditionalFormatting>
        <x14:conditionalFormatting xmlns:xm="http://schemas.microsoft.com/office/excel/2006/main">
          <x14:cfRule type="cellIs" priority="1" operator="equal" id="{1A724CB1-6A2E-45DD-834C-2E1147EEC21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AF19:AF20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W19:W20</xm:sqref>
        </x14:dataValidation>
        <x14:dataValidation type="list" allowBlank="1">
          <x14:formula1>
            <xm:f>Sheet1!$B$1:$B$6</xm:f>
          </x14:formula1>
          <xm:sqref>AL19:AL20</xm:sqref>
        </x14:dataValidation>
        <x14:dataValidation type="list" allowBlank="1">
          <x14:formula1>
            <xm:f>Sheet1!$A$1:$A$19</xm:f>
          </x14:formula1>
          <xm:sqref>X19:X20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8"/>
  <sheetViews>
    <sheetView topLeftCell="AW1" workbookViewId="0">
      <selection activeCell="BA9" sqref="BA9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3" width="13.42578125" style="20" customWidth="1"/>
    <col min="24" max="24" width="31" style="65" customWidth="1"/>
    <col min="25" max="25" width="20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72" width="8.7109375" style="238"/>
    <col min="73" max="16384" width="8.7109375" style="20"/>
  </cols>
  <sheetData>
    <row r="2" spans="1:73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</row>
    <row r="4" spans="1:73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270</v>
      </c>
      <c r="W4" s="9"/>
      <c r="X4" s="14"/>
      <c r="AH4" s="61"/>
      <c r="AJ4" s="48"/>
      <c r="AL4" s="53"/>
      <c r="AM4" s="34"/>
      <c r="AP4" s="34"/>
      <c r="AQ4" s="14"/>
      <c r="AR4" s="14"/>
      <c r="AS4" s="14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</row>
    <row r="5" spans="1:73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</row>
    <row r="6" spans="1:73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74" t="s">
        <v>17</v>
      </c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</row>
    <row r="7" spans="1:73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74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</row>
    <row r="8" spans="1:73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109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</row>
    <row r="9" spans="1:73" s="185" customFormat="1" ht="12.6" customHeight="1" x14ac:dyDescent="0.2">
      <c r="A9" s="72" t="s">
        <v>146</v>
      </c>
      <c r="B9" s="72" t="s">
        <v>121</v>
      </c>
      <c r="C9" s="181"/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1"/>
      <c r="R9" s="181"/>
      <c r="S9" s="181"/>
      <c r="T9" s="73">
        <f>95000+50000</f>
        <v>145000</v>
      </c>
      <c r="U9" s="182"/>
      <c r="V9" s="95" t="s">
        <v>176</v>
      </c>
      <c r="W9" s="92"/>
      <c r="X9" s="116" t="s">
        <v>72</v>
      </c>
      <c r="Y9" s="88"/>
      <c r="Z9" s="183"/>
      <c r="AA9" s="181"/>
      <c r="AB9" s="181"/>
      <c r="AC9" s="183"/>
      <c r="AD9" s="183"/>
      <c r="AE9" s="183"/>
      <c r="AF9" s="183"/>
      <c r="AG9" s="75">
        <v>44606</v>
      </c>
      <c r="AH9" s="75">
        <v>44606</v>
      </c>
      <c r="AI9" s="83">
        <v>44734</v>
      </c>
      <c r="AJ9" s="79">
        <v>44740</v>
      </c>
      <c r="AK9" s="79">
        <v>44740</v>
      </c>
      <c r="AL9" s="92" t="s">
        <v>31</v>
      </c>
      <c r="AM9" s="73">
        <f>95000+50000</f>
        <v>145000</v>
      </c>
      <c r="AN9" s="184"/>
      <c r="AO9" s="184"/>
      <c r="AP9" s="118">
        <f>94016+49500</f>
        <v>143516</v>
      </c>
      <c r="AQ9" s="184"/>
      <c r="AR9" s="184"/>
      <c r="AS9" s="181"/>
      <c r="AT9" s="181"/>
      <c r="AU9" s="181"/>
      <c r="AV9" s="181"/>
      <c r="AW9" s="181"/>
      <c r="AX9" s="181"/>
      <c r="AY9" s="186"/>
      <c r="AZ9" s="181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29"/>
    </row>
    <row r="10" spans="1:73" ht="12.75" x14ac:dyDescent="0.2">
      <c r="A10" s="248" t="s">
        <v>41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69">
        <f>SUM(AM9)</f>
        <v>145000</v>
      </c>
      <c r="AN10" s="269"/>
      <c r="AO10" s="269"/>
      <c r="AP10" s="250"/>
      <c r="AQ10" s="250"/>
      <c r="AR10" s="251"/>
      <c r="AS10" s="103"/>
      <c r="AT10" s="103"/>
      <c r="AU10" s="103"/>
      <c r="AV10" s="103"/>
      <c r="AW10" s="103"/>
      <c r="AX10" s="103"/>
      <c r="AY10" s="187"/>
      <c r="AZ10" s="103"/>
    </row>
    <row r="11" spans="1:73" ht="12.75" x14ac:dyDescent="0.2">
      <c r="A11" s="252" t="s">
        <v>42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3"/>
      <c r="AN11" s="253"/>
      <c r="AO11" s="253"/>
      <c r="AP11" s="254">
        <f>SUM(AP9:AP10)</f>
        <v>143516</v>
      </c>
      <c r="AQ11" s="255"/>
      <c r="AR11" s="255"/>
      <c r="AS11" s="103"/>
      <c r="AT11" s="103"/>
      <c r="AU11" s="103"/>
      <c r="AV11" s="103"/>
      <c r="AW11" s="103"/>
      <c r="AX11" s="103"/>
      <c r="AY11" s="187"/>
      <c r="AZ11" s="103"/>
    </row>
    <row r="12" spans="1:73" ht="12.75" x14ac:dyDescent="0.2">
      <c r="A12" s="242" t="s">
        <v>43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3">
        <f>AM10-AP11</f>
        <v>1484</v>
      </c>
      <c r="AN12" s="244"/>
      <c r="AO12" s="244"/>
      <c r="AP12" s="244"/>
      <c r="AQ12" s="244"/>
      <c r="AR12" s="244"/>
      <c r="AS12" s="103"/>
      <c r="AT12" s="103"/>
      <c r="AU12" s="103"/>
      <c r="AV12" s="103"/>
      <c r="AW12" s="103"/>
      <c r="AX12" s="103"/>
      <c r="AY12" s="187"/>
      <c r="AZ12" s="103"/>
    </row>
    <row r="13" spans="1:73" ht="15" thickBot="1" x14ac:dyDescent="0.25">
      <c r="AZ13" s="103"/>
    </row>
    <row r="14" spans="1:73" s="19" customFormat="1" ht="26.25" customHeight="1" x14ac:dyDescent="0.2">
      <c r="A14" s="68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64"/>
      <c r="Y14" s="31"/>
      <c r="Z14" s="31"/>
      <c r="AA14" s="31"/>
      <c r="AB14" s="31"/>
      <c r="AC14" s="31"/>
      <c r="AD14" s="31"/>
      <c r="AE14" s="31"/>
      <c r="AF14" s="31"/>
      <c r="AG14" s="31"/>
      <c r="AH14" s="62"/>
      <c r="AI14" s="31"/>
      <c r="AJ14" s="50"/>
      <c r="AK14" s="31"/>
      <c r="AL14" s="55"/>
      <c r="AM14" s="37"/>
      <c r="AN14" s="31"/>
      <c r="AO14" s="31"/>
      <c r="AP14" s="37"/>
      <c r="AQ14" s="31"/>
      <c r="AR14" s="31"/>
      <c r="AS14" s="31"/>
      <c r="AT14" s="31"/>
      <c r="AU14" s="31"/>
      <c r="AV14" s="31"/>
      <c r="AW14" s="31"/>
      <c r="AX14" s="31"/>
      <c r="AY14" s="31"/>
      <c r="AZ14" s="109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</row>
    <row r="15" spans="1:73" s="160" customFormat="1" ht="12.6" customHeight="1" x14ac:dyDescent="0.2">
      <c r="A15" s="72" t="s">
        <v>137</v>
      </c>
      <c r="B15" s="72" t="s">
        <v>112</v>
      </c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8"/>
      <c r="R15" s="98"/>
      <c r="S15" s="98"/>
      <c r="T15" s="117">
        <v>100000</v>
      </c>
      <c r="U15" s="99"/>
      <c r="V15" s="72" t="s">
        <v>176</v>
      </c>
      <c r="W15" s="2"/>
      <c r="X15" s="189" t="s">
        <v>72</v>
      </c>
      <c r="Y15" s="46"/>
      <c r="Z15" s="100"/>
      <c r="AA15" s="98"/>
      <c r="AB15" s="98"/>
      <c r="AC15" s="100"/>
      <c r="AD15" s="100"/>
      <c r="AE15" s="100"/>
      <c r="AF15" s="100"/>
      <c r="AG15" s="75">
        <v>44791</v>
      </c>
      <c r="AH15" s="75">
        <v>44791</v>
      </c>
      <c r="AI15" s="75">
        <v>44861</v>
      </c>
      <c r="AJ15" s="75">
        <v>44868</v>
      </c>
      <c r="AK15" s="75">
        <v>44868</v>
      </c>
      <c r="AL15" s="57" t="s">
        <v>31</v>
      </c>
      <c r="AM15" s="118">
        <v>100000</v>
      </c>
      <c r="AN15" s="96"/>
      <c r="AO15" s="96"/>
      <c r="AP15" s="118">
        <v>96686</v>
      </c>
      <c r="AQ15" s="96"/>
      <c r="AR15" s="96"/>
      <c r="AS15" s="98"/>
      <c r="AT15" s="98"/>
      <c r="AU15" s="98"/>
      <c r="AV15" s="98"/>
      <c r="AW15" s="98"/>
      <c r="AX15" s="98"/>
      <c r="AY15" s="98"/>
      <c r="AZ15" s="98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0"/>
    </row>
    <row r="16" spans="1:73" s="19" customFormat="1" x14ac:dyDescent="0.2">
      <c r="A16" s="72"/>
      <c r="B16" s="72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0"/>
      <c r="R16" s="40"/>
      <c r="S16" s="40"/>
      <c r="T16" s="73"/>
      <c r="U16" s="41"/>
      <c r="V16" s="72"/>
      <c r="W16" s="42"/>
      <c r="X16" s="78"/>
      <c r="Y16" s="46"/>
      <c r="Z16" s="43"/>
      <c r="AA16" s="40"/>
      <c r="AB16" s="40"/>
      <c r="AC16" s="43"/>
      <c r="AD16" s="43"/>
      <c r="AE16" s="43"/>
      <c r="AF16" s="43"/>
      <c r="AG16" s="75"/>
      <c r="AH16" s="75"/>
      <c r="AI16" s="78"/>
      <c r="AJ16" s="80"/>
      <c r="AK16" s="80"/>
      <c r="AL16" s="57"/>
      <c r="AM16" s="73"/>
      <c r="AN16" s="96"/>
      <c r="AO16" s="96"/>
      <c r="AP16" s="73"/>
      <c r="AQ16" s="96"/>
      <c r="AR16" s="96"/>
      <c r="AS16" s="98"/>
      <c r="AT16" s="98"/>
      <c r="AU16" s="40"/>
      <c r="AV16" s="40"/>
      <c r="AW16" s="40"/>
      <c r="AX16" s="40"/>
      <c r="AY16" s="188"/>
      <c r="AZ16" s="98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</row>
    <row r="17" spans="1:72" s="19" customFormat="1" x14ac:dyDescent="0.2">
      <c r="A17" s="72"/>
      <c r="B17" s="72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0"/>
      <c r="R17" s="40"/>
      <c r="S17" s="40"/>
      <c r="T17" s="74"/>
      <c r="U17" s="41"/>
      <c r="V17" s="72"/>
      <c r="W17" s="42"/>
      <c r="X17" s="97"/>
      <c r="Y17" s="46"/>
      <c r="Z17" s="43"/>
      <c r="AA17" s="40"/>
      <c r="AB17" s="40"/>
      <c r="AC17" s="43"/>
      <c r="AD17" s="43"/>
      <c r="AE17" s="43"/>
      <c r="AF17" s="43"/>
      <c r="AG17" s="75"/>
      <c r="AH17" s="75"/>
      <c r="AI17" s="97"/>
      <c r="AJ17" s="80"/>
      <c r="AK17" s="80"/>
      <c r="AL17" s="57"/>
      <c r="AM17" s="74"/>
      <c r="AN17" s="96"/>
      <c r="AO17" s="96"/>
      <c r="AP17" s="73"/>
      <c r="AQ17" s="96"/>
      <c r="AR17" s="96"/>
      <c r="AS17" s="98"/>
      <c r="AT17" s="98"/>
      <c r="AU17" s="40"/>
      <c r="AV17" s="40"/>
      <c r="AW17" s="40"/>
      <c r="AX17" s="40"/>
      <c r="AY17" s="188"/>
      <c r="AZ17" s="98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</row>
    <row r="18" spans="1:72" s="19" customFormat="1" ht="12.75" x14ac:dyDescent="0.2">
      <c r="A18" s="245" t="s">
        <v>45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3">
        <f>SUM(AM15:AM17)</f>
        <v>100000</v>
      </c>
      <c r="AN18" s="244"/>
      <c r="AO18" s="273"/>
      <c r="AP18" s="247"/>
      <c r="AQ18" s="247"/>
      <c r="AR18" s="247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</row>
    <row r="23" spans="1:72" ht="15" x14ac:dyDescent="0.2">
      <c r="V23" s="11" t="s">
        <v>46</v>
      </c>
      <c r="W23" s="11"/>
      <c r="X23" s="66"/>
      <c r="Y23" s="21"/>
      <c r="Z23" s="21"/>
      <c r="AA23" s="21"/>
      <c r="AB23" s="21"/>
      <c r="AC23" s="21"/>
      <c r="AD23" s="21"/>
      <c r="AE23" s="21"/>
      <c r="AF23" s="21"/>
      <c r="AG23" s="12" t="s">
        <v>47</v>
      </c>
      <c r="AI23" s="21"/>
      <c r="AJ23" s="51"/>
      <c r="AK23" s="21"/>
      <c r="AL23" s="59"/>
      <c r="AM23" s="39"/>
      <c r="AN23" s="23"/>
      <c r="AO23" s="23"/>
      <c r="AP23" s="39"/>
      <c r="AQ23" s="22"/>
      <c r="AR23" s="24" t="s">
        <v>48</v>
      </c>
      <c r="AS23" s="25"/>
      <c r="AU23" s="26"/>
      <c r="AV23" s="27"/>
      <c r="AW23" s="27"/>
      <c r="AX23" s="27"/>
      <c r="AY23" s="26"/>
      <c r="AZ23" s="26"/>
      <c r="BA23" s="239"/>
    </row>
    <row r="24" spans="1:72" ht="15" x14ac:dyDescent="0.2">
      <c r="V24" s="11"/>
      <c r="W24" s="11"/>
      <c r="X24" s="67"/>
      <c r="Y24" s="11"/>
      <c r="Z24" s="11"/>
      <c r="AA24" s="11"/>
      <c r="AB24" s="11"/>
      <c r="AC24" s="11"/>
      <c r="AD24" s="11"/>
      <c r="AE24" s="22"/>
      <c r="AF24" s="22"/>
      <c r="AG24" s="27"/>
      <c r="AI24" s="21"/>
      <c r="AJ24" s="52"/>
      <c r="AK24" s="21"/>
      <c r="AL24" s="59"/>
      <c r="AM24" s="39"/>
      <c r="AN24" s="23"/>
      <c r="AO24" s="23"/>
      <c r="AP24" s="39"/>
      <c r="AQ24" s="22"/>
      <c r="AR24" s="11"/>
      <c r="AS24" s="25"/>
      <c r="AU24" s="28"/>
      <c r="AV24" s="11"/>
      <c r="AW24" s="11"/>
      <c r="AX24" s="11"/>
      <c r="AY24" s="11"/>
      <c r="AZ24" s="11"/>
      <c r="BA24" s="240"/>
    </row>
    <row r="25" spans="1:72" ht="15" x14ac:dyDescent="0.2">
      <c r="V25" s="11"/>
      <c r="W25" s="11"/>
      <c r="X25" s="67"/>
      <c r="Y25" s="11"/>
      <c r="Z25" s="11"/>
      <c r="AA25" s="11"/>
      <c r="AB25" s="11"/>
      <c r="AC25" s="11"/>
      <c r="AD25" s="11"/>
      <c r="AE25" s="11"/>
      <c r="AF25" s="11"/>
      <c r="AG25" s="25"/>
      <c r="AI25" s="21"/>
      <c r="AJ25" s="51"/>
      <c r="AK25" s="21"/>
      <c r="AL25" s="59"/>
      <c r="AM25" s="39"/>
      <c r="AN25" s="23"/>
      <c r="AO25" s="23"/>
      <c r="AP25" s="39"/>
      <c r="AQ25" s="22"/>
      <c r="AR25" s="11"/>
      <c r="AS25" s="25"/>
      <c r="AU25" s="28"/>
      <c r="AV25" s="11"/>
      <c r="AW25" s="11"/>
      <c r="AX25" s="11"/>
      <c r="AY25" s="11"/>
      <c r="AZ25" s="11"/>
      <c r="BA25" s="240"/>
    </row>
    <row r="26" spans="1:72" ht="15" x14ac:dyDescent="0.2">
      <c r="V26" s="20" t="s">
        <v>178</v>
      </c>
      <c r="AG26" s="20" t="s">
        <v>180</v>
      </c>
      <c r="AI26" s="21"/>
      <c r="AJ26" s="51"/>
      <c r="AK26" s="21"/>
      <c r="AL26" s="59"/>
      <c r="AM26" s="39"/>
      <c r="AN26" s="23"/>
      <c r="AO26" s="23"/>
      <c r="AP26" s="39"/>
      <c r="AQ26" s="22"/>
      <c r="AR26" s="21" t="s">
        <v>50</v>
      </c>
      <c r="AS26" s="25"/>
      <c r="AU26" s="28"/>
      <c r="AV26" s="21"/>
      <c r="AW26" s="21"/>
      <c r="AX26" s="21"/>
      <c r="AY26" s="21"/>
      <c r="AZ26" s="21"/>
      <c r="BA26" s="241"/>
    </row>
    <row r="27" spans="1:72" x14ac:dyDescent="0.2">
      <c r="V27" s="20" t="s">
        <v>177</v>
      </c>
      <c r="AG27" s="20" t="s">
        <v>181</v>
      </c>
    </row>
    <row r="28" spans="1:72" x14ac:dyDescent="0.2">
      <c r="V28" s="20" t="s">
        <v>179</v>
      </c>
      <c r="AG28" s="20" t="s">
        <v>182</v>
      </c>
    </row>
  </sheetData>
  <mergeCells count="29">
    <mergeCell ref="A12:AL12"/>
    <mergeCell ref="AM12:AR12"/>
    <mergeCell ref="A18:AL18"/>
    <mergeCell ref="AM18:AO18"/>
    <mergeCell ref="AP18:AR18"/>
    <mergeCell ref="A10:AL10"/>
    <mergeCell ref="AM10:AO10"/>
    <mergeCell ref="AP10:AR10"/>
    <mergeCell ref="A11:AL11"/>
    <mergeCell ref="AM11:AO11"/>
    <mergeCell ref="AP11:AR11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E8B70BDF-9148-4C18-A82B-1A9A33145757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W16:W17</xm:sqref>
        </x14:conditionalFormatting>
        <x14:conditionalFormatting xmlns:xm="http://schemas.microsoft.com/office/excel/2006/main">
          <x14:cfRule type="cellIs" priority="1" operator="equal" id="{E61B6182-D3CF-4BA6-BD6D-E23C21A46E2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AF16:AF17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X16:X17</xm:sqref>
        </x14:dataValidation>
        <x14:dataValidation type="list" allowBlank="1">
          <x14:formula1>
            <xm:f>Sheet1!$B$1:$B$6</xm:f>
          </x14:formula1>
          <xm:sqref>AL16:AL17</xm:sqref>
        </x14:dataValidation>
        <x14:dataValidation type="list" allowBlank="1">
          <x14:formula1>
            <xm:f>Sheet1!$C$1:$C$2</xm:f>
          </x14:formula1>
          <xm:sqref>W16:W17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38"/>
  <sheetViews>
    <sheetView topLeftCell="AN1" workbookViewId="0">
      <selection activeCell="AZ6" sqref="AZ6:AZ7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0.42578125" style="20" customWidth="1"/>
    <col min="23" max="23" width="13.42578125" style="20" customWidth="1"/>
    <col min="24" max="24" width="13.42578125" style="65" customWidth="1"/>
    <col min="25" max="25" width="20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105" s="13" customFormat="1" ht="20.25" x14ac:dyDescent="0.3">
      <c r="A2" s="60"/>
      <c r="B2" s="60"/>
      <c r="C2" s="13" t="s">
        <v>0</v>
      </c>
      <c r="V2" s="13" t="s">
        <v>1</v>
      </c>
      <c r="X2" s="63"/>
      <c r="AH2" s="60"/>
      <c r="AJ2" s="47"/>
      <c r="AL2" s="53"/>
      <c r="AM2" s="33"/>
      <c r="AP2" s="33"/>
    </row>
    <row r="4" spans="1:105" s="10" customFormat="1" ht="18" x14ac:dyDescent="0.25">
      <c r="A4" s="61"/>
      <c r="B4" s="61"/>
      <c r="C4" s="9" t="s">
        <v>2</v>
      </c>
      <c r="R4" s="14"/>
      <c r="S4" s="14"/>
      <c r="T4" s="14"/>
      <c r="V4" s="9" t="s">
        <v>271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105" s="16" customFormat="1" ht="15" thickBot="1" x14ac:dyDescent="0.25">
      <c r="A5" s="65"/>
      <c r="B5" s="20"/>
      <c r="R5" s="15"/>
      <c r="S5" s="15"/>
      <c r="T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105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74" t="s">
        <v>17</v>
      </c>
    </row>
    <row r="7" spans="1:105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74"/>
    </row>
    <row r="8" spans="1:105" s="19" customFormat="1" ht="26.25" customHeight="1" x14ac:dyDescent="0.2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109"/>
    </row>
    <row r="9" spans="1:105" s="194" customFormat="1" ht="12.75" x14ac:dyDescent="0.2">
      <c r="A9" s="72" t="s">
        <v>143</v>
      </c>
      <c r="B9" s="72" t="s">
        <v>128</v>
      </c>
      <c r="J9" s="205"/>
      <c r="T9" s="73">
        <f>12620+27500</f>
        <v>40120</v>
      </c>
      <c r="V9" s="84" t="s">
        <v>175</v>
      </c>
      <c r="X9" s="194" t="s">
        <v>61</v>
      </c>
      <c r="Y9" s="88"/>
      <c r="AE9" s="205"/>
      <c r="AF9" s="205"/>
      <c r="AG9" s="195">
        <v>44620</v>
      </c>
      <c r="AH9" s="195">
        <v>44620</v>
      </c>
      <c r="AI9" s="195">
        <v>44791</v>
      </c>
      <c r="AJ9" s="195">
        <v>44798</v>
      </c>
      <c r="AK9" s="195">
        <v>44798</v>
      </c>
      <c r="AL9" s="194" t="s">
        <v>31</v>
      </c>
      <c r="AM9" s="193">
        <f>12620+27500</f>
        <v>40120</v>
      </c>
      <c r="AN9" s="196"/>
      <c r="AO9" s="196"/>
      <c r="AP9" s="193">
        <f>12607+27395</f>
        <v>40002</v>
      </c>
      <c r="AQ9" s="196"/>
      <c r="AR9" s="196"/>
      <c r="AY9" s="206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</row>
    <row r="10" spans="1:105" s="197" customFormat="1" ht="12.75" x14ac:dyDescent="0.2">
      <c r="A10" s="150" t="s">
        <v>152</v>
      </c>
      <c r="B10" s="150" t="s">
        <v>129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162">
        <f>30000+12500+17000</f>
        <v>59500</v>
      </c>
      <c r="U10" s="200"/>
      <c r="V10" s="121" t="s">
        <v>175</v>
      </c>
      <c r="W10" s="200"/>
      <c r="X10" s="200">
        <v>53.9</v>
      </c>
      <c r="Y10" s="124"/>
      <c r="Z10" s="200"/>
      <c r="AA10" s="200"/>
      <c r="AB10" s="200"/>
      <c r="AC10" s="200"/>
      <c r="AD10" s="200"/>
      <c r="AE10" s="200"/>
      <c r="AF10" s="200"/>
      <c r="AG10" s="201">
        <v>44613</v>
      </c>
      <c r="AH10" s="201">
        <v>44613</v>
      </c>
      <c r="AI10" s="201">
        <v>44791</v>
      </c>
      <c r="AJ10" s="202">
        <v>44798</v>
      </c>
      <c r="AK10" s="202">
        <v>44798</v>
      </c>
      <c r="AL10" s="200"/>
      <c r="AM10" s="203">
        <f>30000+12500+17000</f>
        <v>59500</v>
      </c>
      <c r="AN10" s="204"/>
      <c r="AO10" s="204"/>
      <c r="AP10" s="203">
        <f>29998+8911+16997.5</f>
        <v>55906.5</v>
      </c>
      <c r="AQ10" s="204"/>
      <c r="AR10" s="204"/>
      <c r="AS10" s="200"/>
      <c r="AT10" s="200"/>
      <c r="AU10" s="200"/>
      <c r="AV10" s="200"/>
      <c r="AW10" s="200"/>
      <c r="AX10" s="200"/>
      <c r="AY10" s="207"/>
      <c r="AZ10" s="194"/>
    </row>
    <row r="11" spans="1:105" ht="12.75" x14ac:dyDescent="0.2">
      <c r="A11" s="248" t="s">
        <v>41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69">
        <f>SUM(AM9:AM10)</f>
        <v>99620</v>
      </c>
      <c r="AN11" s="269"/>
      <c r="AO11" s="269"/>
      <c r="AP11" s="250"/>
      <c r="AQ11" s="250"/>
      <c r="AR11" s="251"/>
      <c r="AS11" s="103"/>
      <c r="AT11" s="103"/>
      <c r="AU11" s="103"/>
      <c r="AV11" s="103"/>
      <c r="AW11" s="103"/>
      <c r="AX11" s="103"/>
      <c r="AY11" s="187"/>
      <c r="AZ11" s="103"/>
    </row>
    <row r="12" spans="1:105" ht="12.75" x14ac:dyDescent="0.2">
      <c r="A12" s="252" t="s">
        <v>42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3"/>
      <c r="AN12" s="253"/>
      <c r="AO12" s="253"/>
      <c r="AP12" s="254">
        <f>SUM(AP9:AP10)</f>
        <v>95908.5</v>
      </c>
      <c r="AQ12" s="255"/>
      <c r="AR12" s="255"/>
      <c r="AS12" s="103"/>
      <c r="AT12" s="103"/>
      <c r="AU12" s="103"/>
      <c r="AV12" s="103"/>
      <c r="AW12" s="103"/>
      <c r="AX12" s="103"/>
      <c r="AY12" s="187"/>
      <c r="AZ12" s="103"/>
    </row>
    <row r="13" spans="1:105" ht="12.75" x14ac:dyDescent="0.2">
      <c r="A13" s="275" t="s">
        <v>43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6">
        <f>AM11-AP12</f>
        <v>3711.5</v>
      </c>
      <c r="AN13" s="269"/>
      <c r="AO13" s="269"/>
      <c r="AP13" s="269"/>
      <c r="AQ13" s="269"/>
      <c r="AR13" s="269"/>
      <c r="AS13" s="103"/>
      <c r="AT13" s="103"/>
      <c r="AU13" s="103"/>
      <c r="AV13" s="103"/>
      <c r="AW13" s="103"/>
      <c r="AX13" s="103"/>
      <c r="AY13" s="187"/>
      <c r="AZ13" s="103"/>
    </row>
    <row r="14" spans="1:105" s="103" customFormat="1" x14ac:dyDescent="0.2">
      <c r="X14" s="135"/>
      <c r="AJ14" s="191"/>
      <c r="AL14" s="57"/>
      <c r="AM14" s="192"/>
      <c r="AP14" s="192"/>
      <c r="AY14" s="187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s="19" customFormat="1" ht="26.25" customHeight="1" x14ac:dyDescent="0.2">
      <c r="A15" s="190" t="s">
        <v>44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70"/>
      <c r="Y15" s="166"/>
      <c r="Z15" s="166"/>
      <c r="AA15" s="166"/>
      <c r="AB15" s="166"/>
      <c r="AC15" s="166"/>
      <c r="AD15" s="166"/>
      <c r="AE15" s="166"/>
      <c r="AF15" s="166"/>
      <c r="AG15" s="166"/>
      <c r="AH15" s="167"/>
      <c r="AI15" s="166"/>
      <c r="AJ15" s="168"/>
      <c r="AK15" s="166"/>
      <c r="AL15" s="171"/>
      <c r="AM15" s="169"/>
      <c r="AN15" s="166"/>
      <c r="AO15" s="166"/>
      <c r="AP15" s="169"/>
      <c r="AQ15" s="166"/>
      <c r="AR15" s="166"/>
      <c r="AS15" s="166"/>
      <c r="AT15" s="166"/>
      <c r="AU15" s="166"/>
      <c r="AV15" s="166"/>
      <c r="AW15" s="166"/>
      <c r="AX15" s="166"/>
      <c r="AY15" s="166"/>
      <c r="AZ15" s="109"/>
    </row>
    <row r="16" spans="1:105" s="160" customFormat="1" ht="12.6" customHeight="1" x14ac:dyDescent="0.2">
      <c r="A16" s="72" t="s">
        <v>137</v>
      </c>
      <c r="B16" s="72" t="s">
        <v>112</v>
      </c>
      <c r="C16" s="98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8"/>
      <c r="R16" s="98"/>
      <c r="S16" s="98"/>
      <c r="T16" s="73">
        <f>35750+14820+27200</f>
        <v>77770</v>
      </c>
      <c r="U16" s="99"/>
      <c r="V16" s="72" t="s">
        <v>175</v>
      </c>
      <c r="W16" s="2"/>
      <c r="X16" s="189" t="s">
        <v>61</v>
      </c>
      <c r="Y16" s="46"/>
      <c r="Z16" s="100"/>
      <c r="AA16" s="98"/>
      <c r="AB16" s="98"/>
      <c r="AC16" s="100"/>
      <c r="AD16" s="100"/>
      <c r="AE16" s="100"/>
      <c r="AF16" s="100"/>
      <c r="AG16" s="75">
        <v>44742</v>
      </c>
      <c r="AH16" s="75">
        <v>44742</v>
      </c>
      <c r="AI16" s="75"/>
      <c r="AJ16" s="79"/>
      <c r="AK16" s="79"/>
      <c r="AL16" s="57" t="s">
        <v>31</v>
      </c>
      <c r="AM16" s="73">
        <f>35750+14820+27200</f>
        <v>77770</v>
      </c>
      <c r="AN16" s="96"/>
      <c r="AO16" s="96"/>
      <c r="AP16" s="73">
        <f>35625+14807+26070</f>
        <v>76502</v>
      </c>
      <c r="AQ16" s="96"/>
      <c r="AR16" s="96"/>
      <c r="AS16" s="98"/>
      <c r="AT16" s="98"/>
      <c r="AU16" s="98"/>
      <c r="AV16" s="98"/>
      <c r="AW16" s="98"/>
      <c r="AX16" s="98"/>
      <c r="AY16" s="115"/>
      <c r="AZ16" s="98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52" s="19" customFormat="1" ht="12.6" customHeight="1" x14ac:dyDescent="0.2">
      <c r="A17" s="150" t="s">
        <v>146</v>
      </c>
      <c r="B17" s="150" t="s">
        <v>217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0"/>
      <c r="R17" s="40"/>
      <c r="S17" s="40"/>
      <c r="T17" s="162">
        <v>124000</v>
      </c>
      <c r="U17" s="41"/>
      <c r="V17" s="150" t="s">
        <v>175</v>
      </c>
      <c r="W17" s="42"/>
      <c r="X17" s="198" t="s">
        <v>61</v>
      </c>
      <c r="Y17" s="113"/>
      <c r="Z17" s="43"/>
      <c r="AA17" s="40"/>
      <c r="AB17" s="40"/>
      <c r="AC17" s="43"/>
      <c r="AD17" s="43"/>
      <c r="AE17" s="43"/>
      <c r="AF17" s="43"/>
      <c r="AG17" s="163">
        <v>44832</v>
      </c>
      <c r="AH17" s="163">
        <v>44832</v>
      </c>
      <c r="AI17" s="199"/>
      <c r="AJ17" s="164"/>
      <c r="AK17" s="164"/>
      <c r="AL17" s="58" t="s">
        <v>31</v>
      </c>
      <c r="AM17" s="162">
        <v>124000</v>
      </c>
      <c r="AN17" s="44"/>
      <c r="AO17" s="44"/>
      <c r="AP17" s="162">
        <v>122358</v>
      </c>
      <c r="AQ17" s="44"/>
      <c r="AR17" s="44"/>
      <c r="AS17" s="40"/>
      <c r="AT17" s="40"/>
      <c r="AU17" s="40"/>
      <c r="AV17" s="40"/>
      <c r="AW17" s="40"/>
      <c r="AX17" s="40"/>
      <c r="AY17" s="188"/>
      <c r="AZ17" s="98"/>
    </row>
    <row r="18" spans="1:52" s="19" customFormat="1" ht="12.6" customHeight="1" x14ac:dyDescent="0.2">
      <c r="A18" s="72" t="s">
        <v>252</v>
      </c>
      <c r="B18" s="72" t="s">
        <v>201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40"/>
      <c r="S18" s="40"/>
      <c r="T18" s="73">
        <v>12500</v>
      </c>
      <c r="U18" s="41"/>
      <c r="V18" s="72" t="s">
        <v>175</v>
      </c>
      <c r="W18" s="42"/>
      <c r="X18" s="108" t="s">
        <v>61</v>
      </c>
      <c r="Y18" s="46"/>
      <c r="Z18" s="43"/>
      <c r="AA18" s="40"/>
      <c r="AB18" s="40"/>
      <c r="AC18" s="43"/>
      <c r="AD18" s="43"/>
      <c r="AE18" s="43"/>
      <c r="AF18" s="43"/>
      <c r="AG18" s="75">
        <v>44832</v>
      </c>
      <c r="AH18" s="75">
        <v>44832</v>
      </c>
      <c r="AI18" s="77"/>
      <c r="AJ18" s="79"/>
      <c r="AK18" s="79"/>
      <c r="AL18" s="57" t="s">
        <v>31</v>
      </c>
      <c r="AM18" s="73">
        <v>12500</v>
      </c>
      <c r="AN18" s="96"/>
      <c r="AO18" s="96"/>
      <c r="AP18" s="73">
        <v>12425</v>
      </c>
      <c r="AQ18" s="44"/>
      <c r="AR18" s="44"/>
      <c r="AS18" s="40"/>
      <c r="AT18" s="40"/>
      <c r="AU18" s="40"/>
      <c r="AV18" s="40"/>
      <c r="AW18" s="40"/>
      <c r="AX18" s="40"/>
      <c r="AY18" s="188"/>
      <c r="AZ18" s="98"/>
    </row>
    <row r="19" spans="1:52" s="19" customFormat="1" ht="12.6" customHeight="1" x14ac:dyDescent="0.2">
      <c r="A19" s="72" t="s">
        <v>143</v>
      </c>
      <c r="B19" s="72" t="s">
        <v>185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40"/>
      <c r="S19" s="40"/>
      <c r="T19" s="73">
        <v>15000</v>
      </c>
      <c r="U19" s="41"/>
      <c r="V19" s="72" t="s">
        <v>175</v>
      </c>
      <c r="W19" s="42"/>
      <c r="X19" s="108" t="s">
        <v>61</v>
      </c>
      <c r="Y19" s="46"/>
      <c r="Z19" s="43"/>
      <c r="AA19" s="40"/>
      <c r="AB19" s="40"/>
      <c r="AC19" s="43"/>
      <c r="AD19" s="43"/>
      <c r="AE19" s="43"/>
      <c r="AF19" s="43"/>
      <c r="AG19" s="75">
        <v>44832</v>
      </c>
      <c r="AH19" s="75">
        <v>44832</v>
      </c>
      <c r="AI19" s="77"/>
      <c r="AJ19" s="79"/>
      <c r="AK19" s="79"/>
      <c r="AL19" s="57" t="s">
        <v>31</v>
      </c>
      <c r="AM19" s="73">
        <v>15000</v>
      </c>
      <c r="AN19" s="96"/>
      <c r="AO19" s="96"/>
      <c r="AP19" s="73">
        <v>14030</v>
      </c>
      <c r="AQ19" s="44"/>
      <c r="AR19" s="44"/>
      <c r="AS19" s="40"/>
      <c r="AT19" s="40"/>
      <c r="AU19" s="40"/>
      <c r="AV19" s="40"/>
      <c r="AW19" s="40"/>
      <c r="AX19" s="40"/>
      <c r="AY19" s="188"/>
      <c r="AZ19" s="98"/>
    </row>
    <row r="20" spans="1:52" s="19" customFormat="1" ht="12.6" customHeight="1" x14ac:dyDescent="0.2">
      <c r="A20" s="72" t="s">
        <v>147</v>
      </c>
      <c r="B20" s="72" t="s">
        <v>184</v>
      </c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0"/>
      <c r="R20" s="40"/>
      <c r="S20" s="40"/>
      <c r="T20" s="73">
        <v>11000</v>
      </c>
      <c r="U20" s="41"/>
      <c r="V20" s="72" t="s">
        <v>175</v>
      </c>
      <c r="W20" s="42"/>
      <c r="X20" s="108" t="s">
        <v>61</v>
      </c>
      <c r="Y20" s="46"/>
      <c r="Z20" s="43"/>
      <c r="AA20" s="40"/>
      <c r="AB20" s="40"/>
      <c r="AC20" s="43"/>
      <c r="AD20" s="43"/>
      <c r="AE20" s="43"/>
      <c r="AF20" s="43"/>
      <c r="AG20" s="75">
        <v>44832</v>
      </c>
      <c r="AH20" s="75">
        <v>44832</v>
      </c>
      <c r="AI20" s="77"/>
      <c r="AJ20" s="79"/>
      <c r="AK20" s="79"/>
      <c r="AL20" s="57" t="s">
        <v>31</v>
      </c>
      <c r="AM20" s="73">
        <v>11000</v>
      </c>
      <c r="AN20" s="96"/>
      <c r="AO20" s="96"/>
      <c r="AP20" s="73">
        <v>10750</v>
      </c>
      <c r="AQ20" s="44"/>
      <c r="AR20" s="44"/>
      <c r="AS20" s="40"/>
      <c r="AT20" s="40"/>
      <c r="AU20" s="40"/>
      <c r="AV20" s="40"/>
      <c r="AW20" s="40"/>
      <c r="AX20" s="40"/>
      <c r="AY20" s="188"/>
      <c r="AZ20" s="98"/>
    </row>
    <row r="21" spans="1:52" s="19" customFormat="1" ht="12.6" customHeight="1" x14ac:dyDescent="0.2">
      <c r="A21" s="72" t="s">
        <v>137</v>
      </c>
      <c r="B21" s="72" t="s">
        <v>209</v>
      </c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/>
      <c r="R21" s="40"/>
      <c r="S21" s="40"/>
      <c r="T21" s="73">
        <v>44200</v>
      </c>
      <c r="U21" s="41"/>
      <c r="V21" s="72" t="s">
        <v>175</v>
      </c>
      <c r="W21" s="42"/>
      <c r="X21" s="108" t="s">
        <v>61</v>
      </c>
      <c r="Y21" s="46"/>
      <c r="Z21" s="43"/>
      <c r="AA21" s="40"/>
      <c r="AB21" s="40"/>
      <c r="AC21" s="43"/>
      <c r="AD21" s="43"/>
      <c r="AE21" s="43"/>
      <c r="AF21" s="43"/>
      <c r="AG21" s="75">
        <v>44904</v>
      </c>
      <c r="AH21" s="75">
        <v>44904</v>
      </c>
      <c r="AI21" s="77"/>
      <c r="AJ21" s="79"/>
      <c r="AK21" s="79"/>
      <c r="AL21" s="57" t="s">
        <v>31</v>
      </c>
      <c r="AM21" s="73">
        <v>44200</v>
      </c>
      <c r="AN21" s="96"/>
      <c r="AO21" s="96"/>
      <c r="AP21" s="73">
        <v>41745</v>
      </c>
      <c r="AQ21" s="44"/>
      <c r="AR21" s="44"/>
      <c r="AS21" s="40"/>
      <c r="AT21" s="40"/>
      <c r="AU21" s="40"/>
      <c r="AV21" s="40"/>
      <c r="AW21" s="40"/>
      <c r="AX21" s="40"/>
      <c r="AY21" s="188"/>
      <c r="AZ21" s="98"/>
    </row>
    <row r="22" spans="1:52" s="19" customFormat="1" ht="12.6" customHeight="1" x14ac:dyDescent="0.2">
      <c r="A22" s="72" t="s">
        <v>143</v>
      </c>
      <c r="B22" s="146" t="s">
        <v>185</v>
      </c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0"/>
      <c r="R22" s="40"/>
      <c r="S22" s="40"/>
      <c r="T22" s="73">
        <v>22240</v>
      </c>
      <c r="U22" s="41"/>
      <c r="V22" s="72" t="s">
        <v>175</v>
      </c>
      <c r="W22" s="42"/>
      <c r="X22" s="108" t="s">
        <v>61</v>
      </c>
      <c r="Y22" s="46"/>
      <c r="Z22" s="43"/>
      <c r="AA22" s="40"/>
      <c r="AB22" s="40"/>
      <c r="AC22" s="43"/>
      <c r="AD22" s="43"/>
      <c r="AE22" s="43"/>
      <c r="AF22" s="43"/>
      <c r="AG22" s="75">
        <v>44904</v>
      </c>
      <c r="AH22" s="75">
        <v>44904</v>
      </c>
      <c r="AI22" s="77"/>
      <c r="AJ22" s="79"/>
      <c r="AK22" s="79"/>
      <c r="AL22" s="57" t="s">
        <v>31</v>
      </c>
      <c r="AM22" s="73">
        <v>22240</v>
      </c>
      <c r="AN22" s="96"/>
      <c r="AO22" s="96"/>
      <c r="AP22" s="73">
        <v>21360</v>
      </c>
      <c r="AQ22" s="44"/>
      <c r="AR22" s="44"/>
      <c r="AS22" s="40"/>
      <c r="AT22" s="40"/>
      <c r="AU22" s="40"/>
      <c r="AV22" s="40"/>
      <c r="AW22" s="40"/>
      <c r="AX22" s="40"/>
      <c r="AY22" s="188"/>
      <c r="AZ22" s="98"/>
    </row>
    <row r="23" spans="1:52" s="19" customFormat="1" ht="12.6" customHeight="1" x14ac:dyDescent="0.2">
      <c r="A23" s="72" t="s">
        <v>145</v>
      </c>
      <c r="B23" s="72" t="s">
        <v>201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  <c r="R23" s="40"/>
      <c r="S23" s="40"/>
      <c r="T23" s="73">
        <v>12500</v>
      </c>
      <c r="U23" s="41"/>
      <c r="V23" s="72" t="s">
        <v>175</v>
      </c>
      <c r="W23" s="42"/>
      <c r="X23" s="108" t="s">
        <v>61</v>
      </c>
      <c r="Y23" s="46"/>
      <c r="Z23" s="43"/>
      <c r="AA23" s="40"/>
      <c r="AB23" s="40"/>
      <c r="AC23" s="43"/>
      <c r="AD23" s="43"/>
      <c r="AE23" s="43"/>
      <c r="AF23" s="43"/>
      <c r="AG23" s="75">
        <v>44904</v>
      </c>
      <c r="AH23" s="75">
        <v>44904</v>
      </c>
      <c r="AI23" s="77"/>
      <c r="AJ23" s="79"/>
      <c r="AK23" s="79"/>
      <c r="AL23" s="57" t="s">
        <v>31</v>
      </c>
      <c r="AM23" s="73">
        <v>12500</v>
      </c>
      <c r="AN23" s="96"/>
      <c r="AO23" s="96"/>
      <c r="AP23" s="73">
        <v>12440</v>
      </c>
      <c r="AQ23" s="44"/>
      <c r="AR23" s="44"/>
      <c r="AS23" s="40"/>
      <c r="AT23" s="40"/>
      <c r="AU23" s="40"/>
      <c r="AV23" s="40"/>
      <c r="AW23" s="40"/>
      <c r="AX23" s="40"/>
      <c r="AY23" s="188"/>
      <c r="AZ23" s="98"/>
    </row>
    <row r="24" spans="1:52" s="19" customFormat="1" ht="12.6" customHeight="1" x14ac:dyDescent="0.2">
      <c r="A24" s="72" t="s">
        <v>147</v>
      </c>
      <c r="B24" s="72" t="s">
        <v>272</v>
      </c>
      <c r="C24" s="40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0"/>
      <c r="R24" s="40"/>
      <c r="S24" s="40"/>
      <c r="T24" s="73">
        <v>11000</v>
      </c>
      <c r="U24" s="41"/>
      <c r="V24" s="72" t="s">
        <v>175</v>
      </c>
      <c r="W24" s="42"/>
      <c r="X24" s="108" t="s">
        <v>61</v>
      </c>
      <c r="Y24" s="46"/>
      <c r="Z24" s="43"/>
      <c r="AA24" s="40"/>
      <c r="AB24" s="40"/>
      <c r="AC24" s="43"/>
      <c r="AD24" s="43"/>
      <c r="AE24" s="43"/>
      <c r="AF24" s="43"/>
      <c r="AG24" s="75">
        <v>44904</v>
      </c>
      <c r="AH24" s="75">
        <v>44904</v>
      </c>
      <c r="AI24" s="77"/>
      <c r="AJ24" s="79"/>
      <c r="AK24" s="79"/>
      <c r="AL24" s="57" t="s">
        <v>31</v>
      </c>
      <c r="AM24" s="73">
        <v>11000</v>
      </c>
      <c r="AN24" s="96"/>
      <c r="AO24" s="96"/>
      <c r="AP24" s="73">
        <v>10800</v>
      </c>
      <c r="AQ24" s="44"/>
      <c r="AR24" s="44"/>
      <c r="AS24" s="40"/>
      <c r="AT24" s="40"/>
      <c r="AU24" s="40"/>
      <c r="AV24" s="40"/>
      <c r="AW24" s="40"/>
      <c r="AX24" s="40"/>
      <c r="AY24" s="188"/>
      <c r="AZ24" s="98"/>
    </row>
    <row r="25" spans="1:52" s="19" customFormat="1" ht="12.6" customHeight="1" x14ac:dyDescent="0.2">
      <c r="A25" s="72" t="s">
        <v>143</v>
      </c>
      <c r="B25" s="72" t="s">
        <v>185</v>
      </c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0"/>
      <c r="R25" s="40"/>
      <c r="S25" s="40"/>
      <c r="T25" s="73">
        <v>6000</v>
      </c>
      <c r="U25" s="41"/>
      <c r="V25" s="72" t="s">
        <v>175</v>
      </c>
      <c r="W25" s="42"/>
      <c r="X25" s="108" t="s">
        <v>61</v>
      </c>
      <c r="Y25" s="46"/>
      <c r="Z25" s="43"/>
      <c r="AA25" s="40"/>
      <c r="AB25" s="40"/>
      <c r="AC25" s="43"/>
      <c r="AD25" s="43"/>
      <c r="AE25" s="43"/>
      <c r="AF25" s="43"/>
      <c r="AG25" s="75">
        <v>44918</v>
      </c>
      <c r="AH25" s="75">
        <v>44918</v>
      </c>
      <c r="AI25" s="77"/>
      <c r="AJ25" s="79"/>
      <c r="AK25" s="79"/>
      <c r="AL25" s="57" t="s">
        <v>31</v>
      </c>
      <c r="AM25" s="73">
        <v>6000</v>
      </c>
      <c r="AN25" s="96"/>
      <c r="AO25" s="96"/>
      <c r="AP25" s="73">
        <v>5800</v>
      </c>
      <c r="AQ25" s="44"/>
      <c r="AR25" s="44"/>
      <c r="AS25" s="40"/>
      <c r="AT25" s="40"/>
      <c r="AU25" s="40"/>
      <c r="AV25" s="40"/>
      <c r="AW25" s="40"/>
      <c r="AX25" s="40"/>
      <c r="AY25" s="188"/>
      <c r="AZ25" s="98"/>
    </row>
    <row r="26" spans="1:52" s="19" customFormat="1" ht="12.6" customHeight="1" x14ac:dyDescent="0.2">
      <c r="A26" s="72" t="s">
        <v>145</v>
      </c>
      <c r="B26" s="72" t="s">
        <v>201</v>
      </c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40"/>
      <c r="S26" s="40"/>
      <c r="T26" s="73">
        <v>10000</v>
      </c>
      <c r="U26" s="41"/>
      <c r="V26" s="72" t="s">
        <v>175</v>
      </c>
      <c r="W26" s="42"/>
      <c r="X26" s="108" t="s">
        <v>61</v>
      </c>
      <c r="Y26" s="46"/>
      <c r="Z26" s="43"/>
      <c r="AA26" s="40"/>
      <c r="AB26" s="40"/>
      <c r="AC26" s="43"/>
      <c r="AD26" s="43"/>
      <c r="AE26" s="43"/>
      <c r="AF26" s="43"/>
      <c r="AG26" s="75">
        <v>44918</v>
      </c>
      <c r="AH26" s="75">
        <v>44918</v>
      </c>
      <c r="AI26" s="77"/>
      <c r="AJ26" s="79"/>
      <c r="AK26" s="79"/>
      <c r="AL26" s="57" t="s">
        <v>31</v>
      </c>
      <c r="AM26" s="73">
        <v>10000</v>
      </c>
      <c r="AN26" s="96"/>
      <c r="AO26" s="96"/>
      <c r="AP26" s="73">
        <v>9800</v>
      </c>
      <c r="AQ26" s="44"/>
      <c r="AR26" s="44"/>
      <c r="AS26" s="40"/>
      <c r="AT26" s="40"/>
      <c r="AU26" s="40"/>
      <c r="AV26" s="40"/>
      <c r="AW26" s="40"/>
      <c r="AX26" s="40"/>
      <c r="AY26" s="188"/>
      <c r="AZ26" s="98"/>
    </row>
    <row r="27" spans="1:52" s="19" customFormat="1" ht="12.6" customHeight="1" x14ac:dyDescent="0.2">
      <c r="A27" s="72" t="s">
        <v>147</v>
      </c>
      <c r="B27" s="72" t="s">
        <v>119</v>
      </c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0"/>
      <c r="R27" s="40"/>
      <c r="S27" s="40"/>
      <c r="T27" s="73">
        <v>17000</v>
      </c>
      <c r="U27" s="41"/>
      <c r="V27" s="72" t="s">
        <v>175</v>
      </c>
      <c r="W27" s="42"/>
      <c r="X27" s="189" t="s">
        <v>61</v>
      </c>
      <c r="Y27" s="46"/>
      <c r="Z27" s="43"/>
      <c r="AA27" s="40"/>
      <c r="AB27" s="40"/>
      <c r="AC27" s="43"/>
      <c r="AD27" s="43"/>
      <c r="AE27" s="43"/>
      <c r="AF27" s="43"/>
      <c r="AG27" s="75">
        <v>44918</v>
      </c>
      <c r="AH27" s="75">
        <v>44918</v>
      </c>
      <c r="AI27" s="75"/>
      <c r="AJ27" s="79"/>
      <c r="AK27" s="79"/>
      <c r="AL27" s="57" t="s">
        <v>31</v>
      </c>
      <c r="AM27" s="73">
        <v>17000</v>
      </c>
      <c r="AN27" s="96"/>
      <c r="AO27" s="96"/>
      <c r="AP27" s="73">
        <v>16900</v>
      </c>
      <c r="AQ27" s="44"/>
      <c r="AR27" s="44"/>
      <c r="AS27" s="40"/>
      <c r="AT27" s="40"/>
      <c r="AU27" s="40"/>
      <c r="AV27" s="40"/>
      <c r="AW27" s="40"/>
      <c r="AX27" s="40"/>
      <c r="AY27" s="188"/>
      <c r="AZ27" s="98"/>
    </row>
    <row r="28" spans="1:52" s="19" customFormat="1" ht="12.75" x14ac:dyDescent="0.2">
      <c r="A28" s="245" t="s">
        <v>45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3">
        <f>SUM(AM16:AM27)</f>
        <v>363210</v>
      </c>
      <c r="AN28" s="244"/>
      <c r="AO28" s="273"/>
      <c r="AP28" s="247"/>
      <c r="AQ28" s="247"/>
      <c r="AR28" s="247"/>
    </row>
    <row r="33" spans="22:53" ht="15" x14ac:dyDescent="0.2">
      <c r="V33" s="11" t="s">
        <v>46</v>
      </c>
      <c r="W33" s="11"/>
      <c r="X33" s="66"/>
      <c r="Y33" s="21"/>
      <c r="Z33" s="21"/>
      <c r="AA33" s="21"/>
      <c r="AB33" s="21"/>
      <c r="AC33" s="21"/>
      <c r="AD33" s="21"/>
      <c r="AE33" s="21"/>
      <c r="AF33" s="21"/>
      <c r="AG33" s="12" t="s">
        <v>47</v>
      </c>
      <c r="AI33" s="21"/>
      <c r="AJ33" s="51"/>
      <c r="AK33" s="21"/>
      <c r="AL33" s="59"/>
      <c r="AM33" s="39"/>
      <c r="AN33" s="23"/>
      <c r="AO33" s="23"/>
      <c r="AP33" s="39"/>
      <c r="AQ33" s="22"/>
      <c r="AR33" s="24" t="s">
        <v>48</v>
      </c>
      <c r="AS33" s="25"/>
      <c r="AU33" s="26"/>
      <c r="AV33" s="27"/>
      <c r="AW33" s="27"/>
      <c r="AX33" s="27"/>
      <c r="AY33" s="26"/>
      <c r="AZ33" s="26"/>
      <c r="BA33" s="26"/>
    </row>
    <row r="34" spans="22:53" ht="15" x14ac:dyDescent="0.2">
      <c r="V34" s="11"/>
      <c r="W34" s="11"/>
      <c r="X34" s="67"/>
      <c r="Y34" s="11"/>
      <c r="Z34" s="11"/>
      <c r="AA34" s="11"/>
      <c r="AB34" s="11"/>
      <c r="AC34" s="11"/>
      <c r="AD34" s="11"/>
      <c r="AE34" s="22"/>
      <c r="AF34" s="22"/>
      <c r="AG34" s="27"/>
      <c r="AI34" s="21"/>
      <c r="AJ34" s="52"/>
      <c r="AK34" s="21"/>
      <c r="AL34" s="59"/>
      <c r="AM34" s="39"/>
      <c r="AN34" s="23"/>
      <c r="AO34" s="23"/>
      <c r="AP34" s="39"/>
      <c r="AQ34" s="22"/>
      <c r="AR34" s="11"/>
      <c r="AS34" s="25"/>
      <c r="AU34" s="28"/>
      <c r="AV34" s="11"/>
      <c r="AW34" s="11"/>
      <c r="AX34" s="11"/>
      <c r="AY34" s="11"/>
      <c r="AZ34" s="11"/>
      <c r="BA34" s="11"/>
    </row>
    <row r="35" spans="22:53" ht="15" x14ac:dyDescent="0.2">
      <c r="V35" s="11"/>
      <c r="W35" s="11"/>
      <c r="X35" s="67"/>
      <c r="Y35" s="11"/>
      <c r="Z35" s="11"/>
      <c r="AA35" s="11"/>
      <c r="AB35" s="11"/>
      <c r="AC35" s="11"/>
      <c r="AD35" s="11"/>
      <c r="AE35" s="11"/>
      <c r="AF35" s="11"/>
      <c r="AG35" s="25"/>
      <c r="AI35" s="21"/>
      <c r="AJ35" s="51"/>
      <c r="AK35" s="21"/>
      <c r="AL35" s="59"/>
      <c r="AM35" s="39"/>
      <c r="AN35" s="23"/>
      <c r="AO35" s="23"/>
      <c r="AP35" s="39"/>
      <c r="AQ35" s="22"/>
      <c r="AR35" s="11"/>
      <c r="AS35" s="25"/>
      <c r="AU35" s="28"/>
      <c r="AV35" s="11"/>
      <c r="AW35" s="11"/>
      <c r="AX35" s="11"/>
      <c r="AY35" s="11"/>
      <c r="AZ35" s="11"/>
      <c r="BA35" s="11"/>
    </row>
    <row r="36" spans="22:53" ht="15" x14ac:dyDescent="0.2">
      <c r="V36" s="20" t="s">
        <v>178</v>
      </c>
      <c r="AG36" s="20" t="s">
        <v>180</v>
      </c>
      <c r="AI36" s="21"/>
      <c r="AJ36" s="51"/>
      <c r="AK36" s="21"/>
      <c r="AL36" s="59"/>
      <c r="AM36" s="39"/>
      <c r="AN36" s="23"/>
      <c r="AO36" s="23"/>
      <c r="AP36" s="39"/>
      <c r="AQ36" s="22"/>
      <c r="AR36" s="21" t="s">
        <v>50</v>
      </c>
      <c r="AS36" s="25"/>
      <c r="AU36" s="28"/>
      <c r="AV36" s="21"/>
      <c r="AW36" s="21"/>
      <c r="AX36" s="21"/>
      <c r="AY36" s="21"/>
      <c r="AZ36" s="21"/>
      <c r="BA36" s="21"/>
    </row>
    <row r="37" spans="22:53" x14ac:dyDescent="0.2">
      <c r="V37" s="20" t="s">
        <v>177</v>
      </c>
      <c r="AG37" s="20" t="s">
        <v>181</v>
      </c>
    </row>
    <row r="38" spans="22:53" x14ac:dyDescent="0.2">
      <c r="V38" s="20" t="s">
        <v>179</v>
      </c>
      <c r="AG38" s="20" t="s">
        <v>182</v>
      </c>
    </row>
  </sheetData>
  <mergeCells count="29">
    <mergeCell ref="A13:AL13"/>
    <mergeCell ref="AM13:AR13"/>
    <mergeCell ref="A28:AL28"/>
    <mergeCell ref="AM28:AO28"/>
    <mergeCell ref="AP28:AR28"/>
    <mergeCell ref="A11:AL11"/>
    <mergeCell ref="AM11:AO11"/>
    <mergeCell ref="AP11:AR11"/>
    <mergeCell ref="A12:AL12"/>
    <mergeCell ref="AM12:AO12"/>
    <mergeCell ref="AP12:AR12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45"/>
  <sheetViews>
    <sheetView topLeftCell="AO19" workbookViewId="0">
      <selection activeCell="Y16" sqref="Y16"/>
    </sheetView>
  </sheetViews>
  <sheetFormatPr defaultColWidth="8.7109375" defaultRowHeight="14.25" x14ac:dyDescent="0.2"/>
  <cols>
    <col min="1" max="1" width="19.42578125" style="20" customWidth="1"/>
    <col min="2" max="2" width="27.85546875" style="20" customWidth="1"/>
    <col min="3" max="19" width="0" style="20" hidden="1" customWidth="1"/>
    <col min="20" max="20" width="15.28515625" style="20" customWidth="1"/>
    <col min="21" max="21" width="14.42578125" style="20" customWidth="1"/>
    <col min="22" max="22" width="13.42578125" style="65" customWidth="1"/>
    <col min="23" max="23" width="13.42578125" style="20" customWidth="1"/>
    <col min="24" max="24" width="14.42578125" style="65" customWidth="1"/>
    <col min="25" max="25" width="20" style="20" customWidth="1"/>
    <col min="26" max="31" width="10.5703125" style="20" customWidth="1"/>
    <col min="32" max="32" width="14.7109375" style="20" customWidth="1"/>
    <col min="33" max="33" width="10.5703125" style="20" customWidth="1"/>
    <col min="34" max="35" width="12.28515625" style="20" customWidth="1"/>
    <col min="36" max="36" width="11" style="49" customWidth="1"/>
    <col min="37" max="37" width="11.7109375" style="20" customWidth="1"/>
    <col min="38" max="38" width="10.85546875" style="54" customWidth="1"/>
    <col min="39" max="39" width="13.5703125" style="38" customWidth="1"/>
    <col min="40" max="41" width="9.42578125" style="20" customWidth="1"/>
    <col min="42" max="42" width="13.85546875" style="38" customWidth="1"/>
    <col min="43" max="44" width="9.42578125" style="20" customWidth="1"/>
    <col min="45" max="45" width="18.28515625" style="20" customWidth="1"/>
    <col min="46" max="50" width="10.140625" style="20" customWidth="1"/>
    <col min="51" max="51" width="11.5703125" style="20" customWidth="1"/>
    <col min="52" max="52" width="21.5703125" style="20" customWidth="1"/>
    <col min="53" max="16384" width="8.7109375" style="20"/>
  </cols>
  <sheetData>
    <row r="2" spans="1:52" s="13" customFormat="1" ht="20.25" x14ac:dyDescent="0.3">
      <c r="A2" s="60"/>
      <c r="B2" s="60"/>
      <c r="C2" s="13" t="s">
        <v>0</v>
      </c>
      <c r="V2" s="63" t="s">
        <v>1</v>
      </c>
      <c r="X2" s="63"/>
      <c r="AH2" s="60"/>
      <c r="AJ2" s="47"/>
      <c r="AL2" s="53"/>
      <c r="AM2" s="33"/>
      <c r="AP2" s="33"/>
    </row>
    <row r="4" spans="1:52" s="10" customFormat="1" ht="18" x14ac:dyDescent="0.25">
      <c r="A4" s="61"/>
      <c r="B4" s="61"/>
      <c r="C4" s="9" t="s">
        <v>2</v>
      </c>
      <c r="R4" s="14"/>
      <c r="S4" s="14"/>
      <c r="T4" s="14"/>
      <c r="V4" s="14" t="s">
        <v>273</v>
      </c>
      <c r="W4" s="9"/>
      <c r="X4" s="14"/>
      <c r="AH4" s="61"/>
      <c r="AJ4" s="48"/>
      <c r="AL4" s="53"/>
      <c r="AM4" s="34"/>
      <c r="AP4" s="34"/>
      <c r="AQ4" s="14"/>
      <c r="AR4" s="14"/>
      <c r="AS4" s="14"/>
    </row>
    <row r="5" spans="1:52" s="16" customFormat="1" ht="15" thickBot="1" x14ac:dyDescent="0.25">
      <c r="A5" s="65"/>
      <c r="B5" s="20"/>
      <c r="R5" s="15"/>
      <c r="S5" s="15"/>
      <c r="T5" s="15"/>
      <c r="V5" s="15"/>
      <c r="X5" s="15"/>
      <c r="AH5" s="20"/>
      <c r="AJ5" s="49"/>
      <c r="AL5" s="54"/>
      <c r="AM5" s="35"/>
      <c r="AP5" s="35"/>
      <c r="AQ5" s="15"/>
      <c r="AR5" s="15"/>
      <c r="AS5" s="15"/>
    </row>
    <row r="6" spans="1:52" s="17" customFormat="1" ht="18" customHeight="1" x14ac:dyDescent="0.2">
      <c r="A6" s="262" t="s">
        <v>3</v>
      </c>
      <c r="B6" s="260" t="s">
        <v>4</v>
      </c>
      <c r="C6" s="258" t="s">
        <v>5</v>
      </c>
      <c r="D6" s="258" t="s">
        <v>6</v>
      </c>
      <c r="E6" s="258" t="s">
        <v>7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 t="s">
        <v>8</v>
      </c>
      <c r="R6" s="258" t="s">
        <v>9</v>
      </c>
      <c r="S6" s="258"/>
      <c r="T6" s="258"/>
      <c r="U6" s="258" t="s">
        <v>10</v>
      </c>
      <c r="V6" s="258" t="s">
        <v>11</v>
      </c>
      <c r="W6" s="258" t="s">
        <v>12</v>
      </c>
      <c r="X6" s="258" t="s">
        <v>6</v>
      </c>
      <c r="Y6" s="258" t="s">
        <v>13</v>
      </c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67" t="s">
        <v>8</v>
      </c>
      <c r="AM6" s="258" t="s">
        <v>9</v>
      </c>
      <c r="AN6" s="258"/>
      <c r="AO6" s="258"/>
      <c r="AP6" s="258" t="s">
        <v>14</v>
      </c>
      <c r="AQ6" s="258"/>
      <c r="AR6" s="258"/>
      <c r="AS6" s="258" t="s">
        <v>15</v>
      </c>
      <c r="AT6" s="258" t="s">
        <v>16</v>
      </c>
      <c r="AU6" s="258"/>
      <c r="AV6" s="258"/>
      <c r="AW6" s="258"/>
      <c r="AX6" s="258"/>
      <c r="AY6" s="258"/>
      <c r="AZ6" s="265" t="s">
        <v>17</v>
      </c>
    </row>
    <row r="7" spans="1:52" s="18" customFormat="1" ht="60" customHeight="1" thickBot="1" x14ac:dyDescent="0.25">
      <c r="A7" s="263"/>
      <c r="B7" s="261"/>
      <c r="C7" s="259"/>
      <c r="D7" s="259"/>
      <c r="E7" s="30" t="s">
        <v>18</v>
      </c>
      <c r="F7" s="30" t="s">
        <v>19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27</v>
      </c>
      <c r="O7" s="30" t="s">
        <v>28</v>
      </c>
      <c r="P7" s="30" t="s">
        <v>29</v>
      </c>
      <c r="Q7" s="259"/>
      <c r="R7" s="69" t="s">
        <v>30</v>
      </c>
      <c r="S7" s="69" t="s">
        <v>31</v>
      </c>
      <c r="T7" s="69" t="s">
        <v>32</v>
      </c>
      <c r="U7" s="259"/>
      <c r="V7" s="259"/>
      <c r="W7" s="259"/>
      <c r="X7" s="259"/>
      <c r="Y7" s="30" t="s">
        <v>18</v>
      </c>
      <c r="Z7" s="30" t="s">
        <v>33</v>
      </c>
      <c r="AA7" s="30" t="s">
        <v>20</v>
      </c>
      <c r="AB7" s="30" t="s">
        <v>21</v>
      </c>
      <c r="AC7" s="30" t="s">
        <v>22</v>
      </c>
      <c r="AD7" s="30" t="s">
        <v>23</v>
      </c>
      <c r="AE7" s="30" t="s">
        <v>24</v>
      </c>
      <c r="AF7" s="30" t="s">
        <v>34</v>
      </c>
      <c r="AG7" s="30" t="s">
        <v>35</v>
      </c>
      <c r="AH7" s="71" t="s">
        <v>26</v>
      </c>
      <c r="AI7" s="30" t="s">
        <v>27</v>
      </c>
      <c r="AJ7" s="70" t="s">
        <v>36</v>
      </c>
      <c r="AK7" s="30" t="s">
        <v>37</v>
      </c>
      <c r="AL7" s="268"/>
      <c r="AM7" s="36" t="s">
        <v>38</v>
      </c>
      <c r="AN7" s="69" t="s">
        <v>31</v>
      </c>
      <c r="AO7" s="69" t="s">
        <v>32</v>
      </c>
      <c r="AP7" s="36" t="s">
        <v>30</v>
      </c>
      <c r="AQ7" s="69" t="s">
        <v>31</v>
      </c>
      <c r="AR7" s="69" t="s">
        <v>32</v>
      </c>
      <c r="AS7" s="259"/>
      <c r="AT7" s="30" t="s">
        <v>20</v>
      </c>
      <c r="AU7" s="30" t="s">
        <v>21</v>
      </c>
      <c r="AV7" s="30" t="s">
        <v>22</v>
      </c>
      <c r="AW7" s="30" t="s">
        <v>23</v>
      </c>
      <c r="AX7" s="30" t="s">
        <v>24</v>
      </c>
      <c r="AY7" s="30" t="s">
        <v>39</v>
      </c>
      <c r="AZ7" s="266"/>
    </row>
    <row r="8" spans="1:52" s="19" customFormat="1" ht="26.25" customHeight="1" thickBot="1" x14ac:dyDescent="0.25">
      <c r="A8" s="68" t="s">
        <v>40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64"/>
      <c r="W8" s="31"/>
      <c r="X8" s="64"/>
      <c r="Y8" s="31"/>
      <c r="Z8" s="31"/>
      <c r="AA8" s="31"/>
      <c r="AB8" s="31"/>
      <c r="AC8" s="31"/>
      <c r="AD8" s="31"/>
      <c r="AE8" s="31"/>
      <c r="AF8" s="31"/>
      <c r="AG8" s="31"/>
      <c r="AH8" s="62"/>
      <c r="AI8" s="31"/>
      <c r="AJ8" s="50"/>
      <c r="AK8" s="31"/>
      <c r="AL8" s="55"/>
      <c r="AM8" s="37"/>
      <c r="AN8" s="31"/>
      <c r="AO8" s="31"/>
      <c r="AP8" s="37"/>
      <c r="AQ8" s="31"/>
      <c r="AR8" s="31"/>
      <c r="AS8" s="31"/>
      <c r="AT8" s="31"/>
      <c r="AU8" s="31"/>
      <c r="AV8" s="31"/>
      <c r="AW8" s="31"/>
      <c r="AX8" s="31"/>
      <c r="AY8" s="31"/>
      <c r="AZ8" s="32"/>
    </row>
    <row r="9" spans="1:52" s="16" customFormat="1" ht="12.75" x14ac:dyDescent="0.2">
      <c r="A9" s="72" t="s">
        <v>143</v>
      </c>
      <c r="B9" s="72" t="s">
        <v>128</v>
      </c>
      <c r="C9" s="85"/>
      <c r="D9" s="85"/>
      <c r="E9" s="85"/>
      <c r="F9" s="85"/>
      <c r="G9" s="85"/>
      <c r="H9" s="85"/>
      <c r="I9" s="85"/>
      <c r="J9" s="86"/>
      <c r="K9" s="85"/>
      <c r="L9" s="85"/>
      <c r="M9" s="85"/>
      <c r="N9" s="85"/>
      <c r="O9" s="85"/>
      <c r="P9" s="85"/>
      <c r="Q9" s="85"/>
      <c r="R9" s="87"/>
      <c r="S9" s="87"/>
      <c r="T9" s="73">
        <v>73000</v>
      </c>
      <c r="U9" s="91"/>
      <c r="V9" s="116" t="s">
        <v>156</v>
      </c>
      <c r="W9" s="92"/>
      <c r="X9" s="92">
        <v>53.9</v>
      </c>
      <c r="Y9" s="88"/>
      <c r="Z9" s="91"/>
      <c r="AA9" s="91"/>
      <c r="AB9" s="91"/>
      <c r="AC9" s="91"/>
      <c r="AD9" s="91"/>
      <c r="AE9" s="215"/>
      <c r="AF9" s="215"/>
      <c r="AG9" s="216">
        <v>44649</v>
      </c>
      <c r="AH9" s="216">
        <v>44649</v>
      </c>
      <c r="AI9" s="75">
        <v>44686</v>
      </c>
      <c r="AJ9" s="120">
        <v>44693</v>
      </c>
      <c r="AK9" s="120">
        <v>44693</v>
      </c>
      <c r="AL9" s="92" t="s">
        <v>31</v>
      </c>
      <c r="AM9" s="73">
        <v>73000</v>
      </c>
      <c r="AN9" s="93"/>
      <c r="AO9" s="93"/>
      <c r="AP9" s="73">
        <v>72850</v>
      </c>
      <c r="AQ9" s="93"/>
      <c r="AR9" s="93"/>
      <c r="AS9" s="92"/>
      <c r="AT9" s="91"/>
      <c r="AU9" s="91"/>
      <c r="AV9" s="91"/>
      <c r="AW9" s="91"/>
      <c r="AX9" s="91"/>
      <c r="AY9" s="91"/>
      <c r="AZ9" s="91"/>
    </row>
    <row r="10" spans="1:52" s="16" customFormat="1" ht="12.75" x14ac:dyDescent="0.2">
      <c r="A10" s="72" t="s">
        <v>152</v>
      </c>
      <c r="B10" s="72" t="s">
        <v>129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2"/>
      <c r="S10" s="92"/>
      <c r="T10" s="73">
        <v>30000</v>
      </c>
      <c r="U10" s="91"/>
      <c r="V10" s="116" t="s">
        <v>156</v>
      </c>
      <c r="W10" s="92"/>
      <c r="X10" s="92">
        <v>53.9</v>
      </c>
      <c r="Y10" s="88"/>
      <c r="Z10" s="91"/>
      <c r="AA10" s="91"/>
      <c r="AB10" s="91"/>
      <c r="AC10" s="91"/>
      <c r="AD10" s="91"/>
      <c r="AE10" s="91"/>
      <c r="AF10" s="91"/>
      <c r="AG10" s="216">
        <v>44642</v>
      </c>
      <c r="AH10" s="216">
        <v>44642</v>
      </c>
      <c r="AI10" s="75">
        <v>44686</v>
      </c>
      <c r="AJ10" s="120">
        <v>44693</v>
      </c>
      <c r="AK10" s="120">
        <v>44693</v>
      </c>
      <c r="AL10" s="92" t="s">
        <v>31</v>
      </c>
      <c r="AM10" s="73">
        <v>30000</v>
      </c>
      <c r="AN10" s="93"/>
      <c r="AO10" s="93"/>
      <c r="AP10" s="73">
        <v>29980</v>
      </c>
      <c r="AQ10" s="93"/>
      <c r="AR10" s="93"/>
      <c r="AS10" s="92"/>
      <c r="AT10" s="91"/>
      <c r="AU10" s="91"/>
      <c r="AV10" s="91"/>
      <c r="AW10" s="91"/>
      <c r="AX10" s="91"/>
      <c r="AY10" s="91"/>
      <c r="AZ10" s="91"/>
    </row>
    <row r="11" spans="1:52" s="16" customFormat="1" ht="12.75" x14ac:dyDescent="0.2">
      <c r="A11" s="72" t="s">
        <v>140</v>
      </c>
      <c r="B11" s="72" t="s">
        <v>115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  <c r="S11" s="92"/>
      <c r="T11" s="73">
        <v>8000</v>
      </c>
      <c r="U11" s="91"/>
      <c r="V11" s="116" t="s">
        <v>156</v>
      </c>
      <c r="W11" s="92"/>
      <c r="X11" s="92">
        <v>53.9</v>
      </c>
      <c r="Y11" s="88"/>
      <c r="Z11" s="91"/>
      <c r="AA11" s="91"/>
      <c r="AB11" s="91"/>
      <c r="AC11" s="91"/>
      <c r="AD11" s="91"/>
      <c r="AE11" s="91"/>
      <c r="AF11" s="91"/>
      <c r="AG11" s="216">
        <v>44642</v>
      </c>
      <c r="AH11" s="216">
        <v>44642</v>
      </c>
      <c r="AI11" s="77">
        <v>44706</v>
      </c>
      <c r="AJ11" s="82">
        <v>44713</v>
      </c>
      <c r="AK11" s="82">
        <v>44713</v>
      </c>
      <c r="AL11" s="92" t="s">
        <v>31</v>
      </c>
      <c r="AM11" s="73">
        <v>8000</v>
      </c>
      <c r="AN11" s="93"/>
      <c r="AO11" s="93"/>
      <c r="AP11" s="73">
        <v>7900</v>
      </c>
      <c r="AQ11" s="93"/>
      <c r="AR11" s="93"/>
      <c r="AS11" s="92"/>
      <c r="AT11" s="91"/>
      <c r="AU11" s="91"/>
      <c r="AV11" s="91"/>
      <c r="AW11" s="91"/>
      <c r="AX11" s="91"/>
      <c r="AY11" s="91"/>
      <c r="AZ11" s="94"/>
    </row>
    <row r="12" spans="1:52" s="16" customFormat="1" ht="12.75" x14ac:dyDescent="0.2">
      <c r="A12" s="72" t="s">
        <v>147</v>
      </c>
      <c r="B12" s="72" t="s">
        <v>119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92"/>
      <c r="T12" s="73">
        <v>50000</v>
      </c>
      <c r="U12" s="91"/>
      <c r="V12" s="116" t="s">
        <v>156</v>
      </c>
      <c r="W12" s="92"/>
      <c r="X12" s="92">
        <v>53.9</v>
      </c>
      <c r="Y12" s="88"/>
      <c r="Z12" s="91"/>
      <c r="AA12" s="91"/>
      <c r="AB12" s="91"/>
      <c r="AC12" s="91"/>
      <c r="AD12" s="91"/>
      <c r="AE12" s="91"/>
      <c r="AF12" s="91"/>
      <c r="AG12" s="216">
        <v>44607</v>
      </c>
      <c r="AH12" s="216">
        <v>44607</v>
      </c>
      <c r="AI12" s="77">
        <v>44701</v>
      </c>
      <c r="AJ12" s="82">
        <v>44707</v>
      </c>
      <c r="AK12" s="82">
        <v>44707</v>
      </c>
      <c r="AL12" s="92" t="s">
        <v>31</v>
      </c>
      <c r="AM12" s="73">
        <v>50000</v>
      </c>
      <c r="AN12" s="93"/>
      <c r="AO12" s="93"/>
      <c r="AP12" s="73">
        <v>49880</v>
      </c>
      <c r="AQ12" s="93"/>
      <c r="AR12" s="93"/>
      <c r="AS12" s="92"/>
      <c r="AT12" s="91"/>
      <c r="AU12" s="91"/>
      <c r="AV12" s="91"/>
      <c r="AW12" s="91"/>
      <c r="AX12" s="91"/>
      <c r="AY12" s="91"/>
      <c r="AZ12" s="94"/>
    </row>
    <row r="13" spans="1:52" s="16" customFormat="1" ht="12.75" x14ac:dyDescent="0.2">
      <c r="A13" s="72" t="s">
        <v>152</v>
      </c>
      <c r="B13" s="72" t="s">
        <v>129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92"/>
      <c r="T13" s="73">
        <v>30000</v>
      </c>
      <c r="U13" s="91"/>
      <c r="V13" s="116" t="s">
        <v>156</v>
      </c>
      <c r="W13" s="92"/>
      <c r="X13" s="92">
        <v>53.9</v>
      </c>
      <c r="Y13" s="88"/>
      <c r="Z13" s="91"/>
      <c r="AA13" s="91"/>
      <c r="AB13" s="91"/>
      <c r="AC13" s="91"/>
      <c r="AD13" s="91"/>
      <c r="AE13" s="91"/>
      <c r="AF13" s="91"/>
      <c r="AG13" s="216">
        <v>44607</v>
      </c>
      <c r="AH13" s="216">
        <v>44607</v>
      </c>
      <c r="AI13" s="77">
        <v>44663</v>
      </c>
      <c r="AJ13" s="82">
        <v>44670</v>
      </c>
      <c r="AK13" s="82">
        <v>44670</v>
      </c>
      <c r="AL13" s="92" t="s">
        <v>31</v>
      </c>
      <c r="AM13" s="73">
        <v>30000</v>
      </c>
      <c r="AN13" s="93"/>
      <c r="AO13" s="93"/>
      <c r="AP13" s="73">
        <v>29950</v>
      </c>
      <c r="AQ13" s="93"/>
      <c r="AR13" s="93"/>
      <c r="AS13" s="92"/>
      <c r="AT13" s="91"/>
      <c r="AU13" s="91"/>
      <c r="AV13" s="91"/>
      <c r="AW13" s="91"/>
      <c r="AX13" s="91"/>
      <c r="AY13" s="91"/>
      <c r="AZ13" s="94"/>
    </row>
    <row r="14" spans="1:52" s="16" customFormat="1" ht="12.75" x14ac:dyDescent="0.2">
      <c r="A14" s="72" t="s">
        <v>137</v>
      </c>
      <c r="B14" s="72" t="s">
        <v>112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2"/>
      <c r="S14" s="92"/>
      <c r="T14" s="73">
        <f>85000+50000</f>
        <v>135000</v>
      </c>
      <c r="U14" s="91"/>
      <c r="V14" s="116" t="s">
        <v>156</v>
      </c>
      <c r="W14" s="92"/>
      <c r="X14" s="92">
        <v>53.9</v>
      </c>
      <c r="Y14" s="88"/>
      <c r="Z14" s="91"/>
      <c r="AA14" s="91"/>
      <c r="AB14" s="91"/>
      <c r="AC14" s="91"/>
      <c r="AD14" s="91"/>
      <c r="AE14" s="91"/>
      <c r="AF14" s="91"/>
      <c r="AG14" s="216">
        <v>44634</v>
      </c>
      <c r="AH14" s="216">
        <v>44634</v>
      </c>
      <c r="AI14" s="77">
        <v>44659</v>
      </c>
      <c r="AJ14" s="82">
        <v>44664</v>
      </c>
      <c r="AK14" s="82">
        <v>44664</v>
      </c>
      <c r="AL14" s="92" t="s">
        <v>31</v>
      </c>
      <c r="AM14" s="73">
        <f>85000+50000</f>
        <v>135000</v>
      </c>
      <c r="AN14" s="93"/>
      <c r="AO14" s="93"/>
      <c r="AP14" s="73">
        <f>84816+49968</f>
        <v>134784</v>
      </c>
      <c r="AQ14" s="93"/>
      <c r="AR14" s="93"/>
      <c r="AS14" s="92"/>
      <c r="AT14" s="91"/>
      <c r="AU14" s="91"/>
      <c r="AV14" s="91"/>
      <c r="AW14" s="91"/>
      <c r="AX14" s="91"/>
      <c r="AY14" s="91"/>
      <c r="AZ14" s="94"/>
    </row>
    <row r="15" spans="1:52" s="16" customFormat="1" ht="12.75" x14ac:dyDescent="0.2">
      <c r="A15" s="72" t="s">
        <v>146</v>
      </c>
      <c r="B15" s="72" t="s">
        <v>121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92"/>
      <c r="T15" s="73">
        <v>93000</v>
      </c>
      <c r="U15" s="91"/>
      <c r="V15" s="116" t="s">
        <v>156</v>
      </c>
      <c r="W15" s="92"/>
      <c r="X15" s="92">
        <v>53.9</v>
      </c>
      <c r="Y15" s="88"/>
      <c r="Z15" s="91"/>
      <c r="AA15" s="91"/>
      <c r="AB15" s="91"/>
      <c r="AC15" s="91"/>
      <c r="AD15" s="91"/>
      <c r="AE15" s="91"/>
      <c r="AF15" s="91"/>
      <c r="AG15" s="216">
        <v>44607</v>
      </c>
      <c r="AH15" s="216">
        <v>44607</v>
      </c>
      <c r="AI15" s="77">
        <v>44670</v>
      </c>
      <c r="AJ15" s="82">
        <v>44678</v>
      </c>
      <c r="AK15" s="82">
        <v>44678</v>
      </c>
      <c r="AL15" s="92" t="s">
        <v>31</v>
      </c>
      <c r="AM15" s="73">
        <v>93000</v>
      </c>
      <c r="AN15" s="93"/>
      <c r="AO15" s="93"/>
      <c r="AP15" s="73">
        <v>92875</v>
      </c>
      <c r="AQ15" s="93"/>
      <c r="AR15" s="93"/>
      <c r="AS15" s="92"/>
      <c r="AT15" s="91"/>
      <c r="AU15" s="91"/>
      <c r="AV15" s="91"/>
      <c r="AW15" s="91"/>
      <c r="AX15" s="91"/>
      <c r="AY15" s="91"/>
      <c r="AZ15" s="94"/>
    </row>
    <row r="16" spans="1:52" s="16" customFormat="1" ht="12.75" x14ac:dyDescent="0.2">
      <c r="A16" s="72" t="s">
        <v>137</v>
      </c>
      <c r="B16" s="72" t="s">
        <v>112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  <c r="S16" s="92"/>
      <c r="T16" s="73">
        <f>85000+67000+23000</f>
        <v>175000</v>
      </c>
      <c r="U16" s="91"/>
      <c r="V16" s="116" t="s">
        <v>156</v>
      </c>
      <c r="W16" s="92"/>
      <c r="X16" s="92">
        <v>53.9</v>
      </c>
      <c r="Y16" s="88"/>
      <c r="Z16" s="91"/>
      <c r="AA16" s="91"/>
      <c r="AB16" s="91"/>
      <c r="AC16" s="91"/>
      <c r="AD16" s="91"/>
      <c r="AE16" s="91"/>
      <c r="AF16" s="91"/>
      <c r="AG16" s="216">
        <v>44607</v>
      </c>
      <c r="AH16" s="216">
        <v>44607</v>
      </c>
      <c r="AI16" s="77">
        <v>44701</v>
      </c>
      <c r="AJ16" s="82">
        <v>44707</v>
      </c>
      <c r="AK16" s="82">
        <v>44707</v>
      </c>
      <c r="AL16" s="92" t="s">
        <v>31</v>
      </c>
      <c r="AM16" s="73">
        <f>85000+67000+23000</f>
        <v>175000</v>
      </c>
      <c r="AN16" s="93"/>
      <c r="AO16" s="93"/>
      <c r="AP16" s="73">
        <v>174200</v>
      </c>
      <c r="AQ16" s="93"/>
      <c r="AR16" s="93"/>
      <c r="AS16" s="92"/>
      <c r="AT16" s="91"/>
      <c r="AU16" s="91"/>
      <c r="AV16" s="91"/>
      <c r="AW16" s="91"/>
      <c r="AX16" s="91"/>
      <c r="AY16" s="91"/>
      <c r="AZ16" s="94"/>
    </row>
    <row r="17" spans="1:52" s="16" customFormat="1" ht="12.75" x14ac:dyDescent="0.2">
      <c r="A17" s="72" t="s">
        <v>146</v>
      </c>
      <c r="B17" s="72" t="s">
        <v>121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/>
      <c r="S17" s="92"/>
      <c r="T17" s="73">
        <f>119200+120000</f>
        <v>239200</v>
      </c>
      <c r="U17" s="91"/>
      <c r="V17" s="116" t="s">
        <v>156</v>
      </c>
      <c r="W17" s="92"/>
      <c r="X17" s="92">
        <v>53.9</v>
      </c>
      <c r="Y17" s="88"/>
      <c r="Z17" s="91"/>
      <c r="AA17" s="91"/>
      <c r="AB17" s="91"/>
      <c r="AC17" s="91"/>
      <c r="AD17" s="91"/>
      <c r="AE17" s="91"/>
      <c r="AF17" s="91"/>
      <c r="AG17" s="216">
        <v>44634</v>
      </c>
      <c r="AH17" s="216">
        <v>44634</v>
      </c>
      <c r="AI17" s="77">
        <v>44747</v>
      </c>
      <c r="AJ17" s="82">
        <v>44754</v>
      </c>
      <c r="AK17" s="82">
        <v>44754</v>
      </c>
      <c r="AL17" s="92" t="s">
        <v>31</v>
      </c>
      <c r="AM17" s="73">
        <f>119200+120000</f>
        <v>239200</v>
      </c>
      <c r="AN17" s="93"/>
      <c r="AO17" s="93"/>
      <c r="AP17" s="73">
        <f>119090+119936</f>
        <v>239026</v>
      </c>
      <c r="AQ17" s="93"/>
      <c r="AR17" s="93"/>
      <c r="AS17" s="92"/>
      <c r="AT17" s="91"/>
      <c r="AU17" s="91"/>
      <c r="AV17" s="91"/>
      <c r="AW17" s="91"/>
      <c r="AX17" s="91"/>
      <c r="AY17" s="91"/>
      <c r="AZ17" s="94"/>
    </row>
    <row r="18" spans="1:52" s="16" customFormat="1" ht="12.75" x14ac:dyDescent="0.2">
      <c r="A18" s="72" t="s">
        <v>139</v>
      </c>
      <c r="B18" s="72" t="s">
        <v>114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92"/>
      <c r="T18" s="73">
        <v>5000</v>
      </c>
      <c r="U18" s="91"/>
      <c r="V18" s="116" t="s">
        <v>156</v>
      </c>
      <c r="W18" s="92"/>
      <c r="X18" s="92">
        <v>53.9</v>
      </c>
      <c r="Y18" s="88"/>
      <c r="Z18" s="91"/>
      <c r="AA18" s="91"/>
      <c r="AB18" s="91"/>
      <c r="AC18" s="91"/>
      <c r="AD18" s="91"/>
      <c r="AE18" s="91"/>
      <c r="AF18" s="91"/>
      <c r="AG18" s="216">
        <v>44685</v>
      </c>
      <c r="AH18" s="216">
        <v>44685</v>
      </c>
      <c r="AI18" s="77">
        <v>44708</v>
      </c>
      <c r="AJ18" s="82">
        <v>44715</v>
      </c>
      <c r="AK18" s="82">
        <v>44715</v>
      </c>
      <c r="AL18" s="92" t="s">
        <v>31</v>
      </c>
      <c r="AM18" s="73">
        <v>5000</v>
      </c>
      <c r="AN18" s="93"/>
      <c r="AO18" s="93"/>
      <c r="AP18" s="73">
        <v>4919</v>
      </c>
      <c r="AQ18" s="93"/>
      <c r="AR18" s="93"/>
      <c r="AS18" s="92"/>
      <c r="AT18" s="91"/>
      <c r="AU18" s="91"/>
      <c r="AV18" s="91"/>
      <c r="AW18" s="91"/>
      <c r="AX18" s="91"/>
      <c r="AY18" s="91"/>
      <c r="AZ18" s="94"/>
    </row>
    <row r="19" spans="1:52" s="16" customFormat="1" ht="12.75" x14ac:dyDescent="0.2">
      <c r="A19" s="72" t="s">
        <v>142</v>
      </c>
      <c r="B19" s="72" t="s">
        <v>116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2"/>
      <c r="S19" s="92"/>
      <c r="T19" s="73">
        <v>10000</v>
      </c>
      <c r="U19" s="91"/>
      <c r="V19" s="116" t="s">
        <v>156</v>
      </c>
      <c r="W19" s="92"/>
      <c r="X19" s="92">
        <v>53.9</v>
      </c>
      <c r="Y19" s="88"/>
      <c r="Z19" s="91"/>
      <c r="AA19" s="91"/>
      <c r="AB19" s="91"/>
      <c r="AC19" s="91"/>
      <c r="AD19" s="91"/>
      <c r="AE19" s="91"/>
      <c r="AF19" s="91"/>
      <c r="AG19" s="216">
        <v>44685</v>
      </c>
      <c r="AH19" s="216">
        <v>44685</v>
      </c>
      <c r="AI19" s="77">
        <v>44757</v>
      </c>
      <c r="AJ19" s="82">
        <v>44764</v>
      </c>
      <c r="AK19" s="82">
        <v>44764</v>
      </c>
      <c r="AL19" s="92" t="s">
        <v>31</v>
      </c>
      <c r="AM19" s="73">
        <v>10000</v>
      </c>
      <c r="AN19" s="93"/>
      <c r="AO19" s="93"/>
      <c r="AP19" s="73">
        <v>9960</v>
      </c>
      <c r="AQ19" s="93"/>
      <c r="AR19" s="93"/>
      <c r="AS19" s="92"/>
      <c r="AT19" s="91"/>
      <c r="AU19" s="91"/>
      <c r="AV19" s="91"/>
      <c r="AW19" s="91"/>
      <c r="AX19" s="91"/>
      <c r="AY19" s="91"/>
      <c r="AZ19" s="94"/>
    </row>
    <row r="20" spans="1:52" s="16" customFormat="1" ht="12.75" x14ac:dyDescent="0.2">
      <c r="A20" s="72" t="s">
        <v>152</v>
      </c>
      <c r="B20" s="72" t="s">
        <v>274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2"/>
      <c r="T20" s="73">
        <v>45000</v>
      </c>
      <c r="U20" s="91"/>
      <c r="V20" s="116" t="s">
        <v>156</v>
      </c>
      <c r="W20" s="92"/>
      <c r="X20" s="92">
        <v>53.9</v>
      </c>
      <c r="Y20" s="88"/>
      <c r="Z20" s="91"/>
      <c r="AA20" s="91"/>
      <c r="AB20" s="91"/>
      <c r="AC20" s="91"/>
      <c r="AD20" s="91"/>
      <c r="AE20" s="91"/>
      <c r="AF20" s="91"/>
      <c r="AG20" s="216">
        <v>44810</v>
      </c>
      <c r="AH20" s="216">
        <v>44810</v>
      </c>
      <c r="AI20" s="77">
        <v>44826</v>
      </c>
      <c r="AJ20" s="82">
        <v>44833</v>
      </c>
      <c r="AK20" s="82">
        <v>44833</v>
      </c>
      <c r="AL20" s="92" t="s">
        <v>31</v>
      </c>
      <c r="AM20" s="73">
        <v>45000</v>
      </c>
      <c r="AN20" s="93"/>
      <c r="AO20" s="93"/>
      <c r="AP20" s="73">
        <v>44850</v>
      </c>
      <c r="AQ20" s="93"/>
      <c r="AR20" s="93"/>
      <c r="AS20" s="92"/>
      <c r="AT20" s="91"/>
      <c r="AU20" s="91"/>
      <c r="AV20" s="91"/>
      <c r="AW20" s="91"/>
      <c r="AX20" s="91"/>
      <c r="AY20" s="91"/>
      <c r="AZ20" s="94"/>
    </row>
    <row r="21" spans="1:52" s="16" customFormat="1" ht="12.75" x14ac:dyDescent="0.2">
      <c r="A21" s="72" t="s">
        <v>137</v>
      </c>
      <c r="B21" s="72" t="s">
        <v>112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92"/>
      <c r="T21" s="73">
        <v>55000</v>
      </c>
      <c r="U21" s="91"/>
      <c r="V21" s="116" t="s">
        <v>156</v>
      </c>
      <c r="W21" s="92"/>
      <c r="X21" s="92">
        <v>53.9</v>
      </c>
      <c r="Y21" s="88"/>
      <c r="Z21" s="91"/>
      <c r="AA21" s="91"/>
      <c r="AB21" s="91"/>
      <c r="AC21" s="91"/>
      <c r="AD21" s="91"/>
      <c r="AE21" s="91"/>
      <c r="AF21" s="91"/>
      <c r="AG21" s="216">
        <v>44809</v>
      </c>
      <c r="AH21" s="216">
        <v>44809</v>
      </c>
      <c r="AI21" s="75">
        <v>44833</v>
      </c>
      <c r="AJ21" s="82">
        <v>44840</v>
      </c>
      <c r="AK21" s="82">
        <v>44840</v>
      </c>
      <c r="AL21" s="92" t="s">
        <v>31</v>
      </c>
      <c r="AM21" s="73">
        <v>55000</v>
      </c>
      <c r="AN21" s="93"/>
      <c r="AO21" s="93"/>
      <c r="AP21" s="73">
        <v>54923</v>
      </c>
      <c r="AQ21" s="93"/>
      <c r="AR21" s="93"/>
      <c r="AS21" s="92"/>
      <c r="AT21" s="91"/>
      <c r="AU21" s="91"/>
      <c r="AV21" s="91"/>
      <c r="AW21" s="91"/>
      <c r="AX21" s="91"/>
      <c r="AY21" s="91"/>
      <c r="AZ21" s="94"/>
    </row>
    <row r="22" spans="1:52" s="16" customFormat="1" ht="12.75" x14ac:dyDescent="0.2">
      <c r="A22" s="72" t="s">
        <v>143</v>
      </c>
      <c r="B22" s="72" t="s">
        <v>185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92"/>
      <c r="T22" s="73">
        <v>88000</v>
      </c>
      <c r="U22" s="91"/>
      <c r="V22" s="116" t="s">
        <v>156</v>
      </c>
      <c r="W22" s="92"/>
      <c r="X22" s="92">
        <v>53.9</v>
      </c>
      <c r="Y22" s="88"/>
      <c r="Z22" s="91"/>
      <c r="AA22" s="91"/>
      <c r="AB22" s="91"/>
      <c r="AC22" s="91"/>
      <c r="AD22" s="91"/>
      <c r="AE22" s="91"/>
      <c r="AF22" s="91"/>
      <c r="AG22" s="216">
        <v>44809</v>
      </c>
      <c r="AH22" s="216">
        <v>44809</v>
      </c>
      <c r="AI22" s="75">
        <v>44833</v>
      </c>
      <c r="AJ22" s="82">
        <v>44840</v>
      </c>
      <c r="AK22" s="82">
        <v>44840</v>
      </c>
      <c r="AL22" s="92" t="s">
        <v>31</v>
      </c>
      <c r="AM22" s="73">
        <v>88000</v>
      </c>
      <c r="AN22" s="93"/>
      <c r="AO22" s="93"/>
      <c r="AP22" s="73">
        <v>87927</v>
      </c>
      <c r="AQ22" s="93"/>
      <c r="AR22" s="93"/>
      <c r="AS22" s="92"/>
      <c r="AT22" s="91"/>
      <c r="AU22" s="91"/>
      <c r="AV22" s="91"/>
      <c r="AW22" s="91"/>
      <c r="AX22" s="91"/>
      <c r="AY22" s="91"/>
      <c r="AZ22" s="94"/>
    </row>
    <row r="23" spans="1:52" s="16" customFormat="1" ht="12.75" x14ac:dyDescent="0.2">
      <c r="A23" s="72" t="s">
        <v>267</v>
      </c>
      <c r="B23" s="72" t="s">
        <v>187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2"/>
      <c r="S23" s="92"/>
      <c r="T23" s="73">
        <v>10000</v>
      </c>
      <c r="U23" s="91"/>
      <c r="V23" s="116" t="s">
        <v>156</v>
      </c>
      <c r="W23" s="92"/>
      <c r="X23" s="92">
        <v>53.9</v>
      </c>
      <c r="Y23" s="88"/>
      <c r="Z23" s="91"/>
      <c r="AA23" s="91"/>
      <c r="AB23" s="91"/>
      <c r="AC23" s="91"/>
      <c r="AD23" s="91"/>
      <c r="AE23" s="91"/>
      <c r="AF23" s="91"/>
      <c r="AG23" s="216">
        <v>44809</v>
      </c>
      <c r="AH23" s="216">
        <v>44809</v>
      </c>
      <c r="AI23" s="75">
        <v>44833</v>
      </c>
      <c r="AJ23" s="82">
        <v>44840</v>
      </c>
      <c r="AK23" s="82">
        <v>44840</v>
      </c>
      <c r="AL23" s="92" t="s">
        <v>31</v>
      </c>
      <c r="AM23" s="73">
        <v>10000</v>
      </c>
      <c r="AN23" s="93"/>
      <c r="AO23" s="93"/>
      <c r="AP23" s="73">
        <v>9930</v>
      </c>
      <c r="AQ23" s="93"/>
      <c r="AR23" s="93"/>
      <c r="AS23" s="92"/>
      <c r="AT23" s="91"/>
      <c r="AU23" s="91"/>
      <c r="AV23" s="91"/>
      <c r="AW23" s="91"/>
      <c r="AX23" s="91"/>
      <c r="AY23" s="91"/>
      <c r="AZ23" s="94"/>
    </row>
    <row r="24" spans="1:52" s="16" customFormat="1" ht="12.75" x14ac:dyDescent="0.2">
      <c r="A24" s="72" t="s">
        <v>141</v>
      </c>
      <c r="B24" s="72" t="s">
        <v>130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  <c r="S24" s="92"/>
      <c r="T24" s="73">
        <f>39000+135000</f>
        <v>174000</v>
      </c>
      <c r="U24" s="91"/>
      <c r="V24" s="116" t="s">
        <v>156</v>
      </c>
      <c r="W24" s="92"/>
      <c r="X24" s="92">
        <v>53.9</v>
      </c>
      <c r="Y24" s="88"/>
      <c r="Z24" s="91"/>
      <c r="AA24" s="91"/>
      <c r="AB24" s="91"/>
      <c r="AC24" s="91"/>
      <c r="AD24" s="91"/>
      <c r="AE24" s="91"/>
      <c r="AF24" s="91"/>
      <c r="AG24" s="216">
        <v>44719</v>
      </c>
      <c r="AH24" s="216">
        <v>44719</v>
      </c>
      <c r="AI24" s="77">
        <v>44802</v>
      </c>
      <c r="AJ24" s="82">
        <v>44805</v>
      </c>
      <c r="AK24" s="82">
        <v>44805</v>
      </c>
      <c r="AL24" s="92" t="s">
        <v>31</v>
      </c>
      <c r="AM24" s="73">
        <f>39000+135000</f>
        <v>174000</v>
      </c>
      <c r="AN24" s="93"/>
      <c r="AO24" s="93"/>
      <c r="AP24" s="73">
        <f>38830+134880</f>
        <v>173710</v>
      </c>
      <c r="AQ24" s="93"/>
      <c r="AR24" s="93"/>
      <c r="AS24" s="92"/>
      <c r="AT24" s="91"/>
      <c r="AU24" s="91"/>
      <c r="AV24" s="91"/>
      <c r="AW24" s="91"/>
      <c r="AX24" s="91"/>
      <c r="AY24" s="91"/>
      <c r="AZ24" s="94"/>
    </row>
    <row r="25" spans="1:52" s="16" customFormat="1" ht="12.75" x14ac:dyDescent="0.2">
      <c r="A25" s="72" t="s">
        <v>147</v>
      </c>
      <c r="B25" s="72" t="s">
        <v>119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92"/>
      <c r="T25" s="73">
        <v>50000</v>
      </c>
      <c r="U25" s="91"/>
      <c r="V25" s="116" t="s">
        <v>156</v>
      </c>
      <c r="W25" s="92"/>
      <c r="X25" s="92">
        <v>53.9</v>
      </c>
      <c r="Y25" s="88"/>
      <c r="Z25" s="91"/>
      <c r="AA25" s="91"/>
      <c r="AB25" s="91"/>
      <c r="AC25" s="91"/>
      <c r="AD25" s="91"/>
      <c r="AE25" s="91"/>
      <c r="AF25" s="91"/>
      <c r="AG25" s="216">
        <v>44722</v>
      </c>
      <c r="AH25" s="216">
        <v>44722</v>
      </c>
      <c r="AI25" s="77">
        <v>44824</v>
      </c>
      <c r="AJ25" s="82">
        <v>44831</v>
      </c>
      <c r="AK25" s="82">
        <v>44831</v>
      </c>
      <c r="AL25" s="92" t="s">
        <v>31</v>
      </c>
      <c r="AM25" s="73">
        <v>50000</v>
      </c>
      <c r="AN25" s="93"/>
      <c r="AO25" s="93"/>
      <c r="AP25" s="73">
        <v>49968</v>
      </c>
      <c r="AQ25" s="93"/>
      <c r="AR25" s="93"/>
      <c r="AS25" s="92"/>
      <c r="AT25" s="91"/>
      <c r="AU25" s="91"/>
      <c r="AV25" s="91"/>
      <c r="AW25" s="91"/>
      <c r="AX25" s="91"/>
      <c r="AY25" s="91"/>
      <c r="AZ25" s="94"/>
    </row>
    <row r="26" spans="1:52" s="16" customFormat="1" ht="12.75" x14ac:dyDescent="0.2">
      <c r="A26" s="72" t="s">
        <v>137</v>
      </c>
      <c r="B26" s="72" t="s">
        <v>112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  <c r="S26" s="92"/>
      <c r="T26" s="73">
        <f>119000+59000+30000</f>
        <v>208000</v>
      </c>
      <c r="U26" s="91"/>
      <c r="V26" s="116" t="s">
        <v>156</v>
      </c>
      <c r="W26" s="92"/>
      <c r="X26" s="92">
        <v>53.9</v>
      </c>
      <c r="Y26" s="88"/>
      <c r="Z26" s="91"/>
      <c r="AA26" s="91"/>
      <c r="AB26" s="91"/>
      <c r="AC26" s="91"/>
      <c r="AD26" s="91"/>
      <c r="AE26" s="91"/>
      <c r="AF26" s="91"/>
      <c r="AG26" s="216">
        <v>44697</v>
      </c>
      <c r="AH26" s="216">
        <v>44697</v>
      </c>
      <c r="AI26" s="77">
        <v>44840</v>
      </c>
      <c r="AJ26" s="82">
        <v>44847</v>
      </c>
      <c r="AK26" s="82">
        <v>44847</v>
      </c>
      <c r="AL26" s="92" t="s">
        <v>31</v>
      </c>
      <c r="AM26" s="73">
        <f>119000+59000+30000</f>
        <v>208000</v>
      </c>
      <c r="AN26" s="93"/>
      <c r="AO26" s="93"/>
      <c r="AP26" s="73">
        <f>118800+58924+29980</f>
        <v>207704</v>
      </c>
      <c r="AQ26" s="93"/>
      <c r="AR26" s="93"/>
      <c r="AS26" s="92"/>
      <c r="AT26" s="91"/>
      <c r="AU26" s="91"/>
      <c r="AV26" s="91"/>
      <c r="AW26" s="91"/>
      <c r="AX26" s="91"/>
      <c r="AY26" s="91"/>
      <c r="AZ26" s="94"/>
    </row>
    <row r="27" spans="1:52" s="16" customFormat="1" ht="12.75" x14ac:dyDescent="0.2">
      <c r="A27" s="72" t="s">
        <v>140</v>
      </c>
      <c r="B27" s="72" t="s">
        <v>220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2"/>
      <c r="S27" s="92"/>
      <c r="T27" s="73">
        <v>8000</v>
      </c>
      <c r="U27" s="91"/>
      <c r="V27" s="116" t="s">
        <v>156</v>
      </c>
      <c r="W27" s="92"/>
      <c r="X27" s="92">
        <v>53.9</v>
      </c>
      <c r="Y27" s="88"/>
      <c r="Z27" s="91"/>
      <c r="AA27" s="91"/>
      <c r="AB27" s="91"/>
      <c r="AC27" s="91"/>
      <c r="AD27" s="91"/>
      <c r="AE27" s="91"/>
      <c r="AF27" s="91"/>
      <c r="AG27" s="216">
        <v>44809</v>
      </c>
      <c r="AH27" s="216">
        <v>44809</v>
      </c>
      <c r="AI27" s="77">
        <v>44848</v>
      </c>
      <c r="AJ27" s="82">
        <v>44855</v>
      </c>
      <c r="AK27" s="82">
        <v>44855</v>
      </c>
      <c r="AL27" s="92" t="s">
        <v>31</v>
      </c>
      <c r="AM27" s="73">
        <v>8000</v>
      </c>
      <c r="AN27" s="93"/>
      <c r="AO27" s="93"/>
      <c r="AP27" s="73">
        <v>7980</v>
      </c>
      <c r="AQ27" s="93"/>
      <c r="AR27" s="93"/>
      <c r="AS27" s="92"/>
      <c r="AT27" s="91"/>
      <c r="AU27" s="91"/>
      <c r="AV27" s="91"/>
      <c r="AW27" s="91"/>
      <c r="AX27" s="91"/>
      <c r="AY27" s="91"/>
      <c r="AZ27" s="94"/>
    </row>
    <row r="28" spans="1:52" s="16" customFormat="1" ht="12.75" x14ac:dyDescent="0.2">
      <c r="A28" s="72" t="s">
        <v>139</v>
      </c>
      <c r="B28" s="72" t="s">
        <v>275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92"/>
      <c r="T28" s="73">
        <v>5000</v>
      </c>
      <c r="U28" s="91"/>
      <c r="V28" s="116" t="s">
        <v>156</v>
      </c>
      <c r="W28" s="92"/>
      <c r="X28" s="92">
        <v>53.9</v>
      </c>
      <c r="Y28" s="88"/>
      <c r="Z28" s="91"/>
      <c r="AA28" s="91"/>
      <c r="AB28" s="91"/>
      <c r="AC28" s="91"/>
      <c r="AD28" s="91"/>
      <c r="AE28" s="91"/>
      <c r="AF28" s="91"/>
      <c r="AG28" s="216">
        <v>44809</v>
      </c>
      <c r="AH28" s="216">
        <v>44809</v>
      </c>
      <c r="AI28" s="77">
        <v>44848</v>
      </c>
      <c r="AJ28" s="82">
        <v>44855</v>
      </c>
      <c r="AK28" s="82">
        <v>44855</v>
      </c>
      <c r="AL28" s="92" t="s">
        <v>31</v>
      </c>
      <c r="AM28" s="73">
        <v>5000</v>
      </c>
      <c r="AN28" s="93"/>
      <c r="AO28" s="93"/>
      <c r="AP28" s="73">
        <v>4943</v>
      </c>
      <c r="AQ28" s="93"/>
      <c r="AR28" s="93"/>
      <c r="AS28" s="92"/>
      <c r="AT28" s="91"/>
      <c r="AU28" s="91"/>
      <c r="AV28" s="91"/>
      <c r="AW28" s="91"/>
      <c r="AX28" s="91"/>
      <c r="AY28" s="91"/>
      <c r="AZ28" s="94"/>
    </row>
    <row r="29" spans="1:52" s="16" customFormat="1" ht="12.75" x14ac:dyDescent="0.2">
      <c r="A29" s="72" t="s">
        <v>142</v>
      </c>
      <c r="B29" s="72" t="s">
        <v>116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S29" s="92"/>
      <c r="T29" s="73">
        <v>10000</v>
      </c>
      <c r="U29" s="91"/>
      <c r="V29" s="116" t="s">
        <v>156</v>
      </c>
      <c r="W29" s="92"/>
      <c r="X29" s="92">
        <v>53.9</v>
      </c>
      <c r="Y29" s="88"/>
      <c r="Z29" s="91"/>
      <c r="AA29" s="91"/>
      <c r="AB29" s="91"/>
      <c r="AC29" s="91"/>
      <c r="AD29" s="91"/>
      <c r="AE29" s="91"/>
      <c r="AF29" s="91"/>
      <c r="AG29" s="216">
        <v>44862</v>
      </c>
      <c r="AH29" s="216">
        <v>44862</v>
      </c>
      <c r="AI29" s="75">
        <v>44887</v>
      </c>
      <c r="AJ29" s="120">
        <v>44894</v>
      </c>
      <c r="AK29" s="120">
        <v>44894</v>
      </c>
      <c r="AL29" s="92" t="s">
        <v>31</v>
      </c>
      <c r="AM29" s="73">
        <v>10000</v>
      </c>
      <c r="AN29" s="125"/>
      <c r="AO29" s="93"/>
      <c r="AP29" s="73">
        <v>9960</v>
      </c>
      <c r="AQ29" s="93"/>
      <c r="AR29" s="93"/>
      <c r="AS29" s="92"/>
      <c r="AT29" s="91"/>
      <c r="AU29" s="91"/>
      <c r="AV29" s="91"/>
      <c r="AW29" s="91"/>
      <c r="AX29" s="91"/>
      <c r="AY29" s="91"/>
      <c r="AZ29" s="94"/>
    </row>
    <row r="30" spans="1:52" ht="12.75" x14ac:dyDescent="0.2">
      <c r="A30" s="248" t="s">
        <v>41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69">
        <f>SUM(AM9:AM29)</f>
        <v>1501200</v>
      </c>
      <c r="AN30" s="269"/>
      <c r="AO30" s="269"/>
      <c r="AP30" s="250"/>
      <c r="AQ30" s="250"/>
      <c r="AR30" s="251"/>
      <c r="AS30" s="103"/>
      <c r="AT30" s="103"/>
      <c r="AU30" s="103"/>
      <c r="AV30" s="103"/>
      <c r="AW30" s="103"/>
      <c r="AX30" s="103"/>
      <c r="AY30" s="103"/>
      <c r="AZ30" s="103"/>
    </row>
    <row r="31" spans="1:52" ht="12.75" x14ac:dyDescent="0.2">
      <c r="A31" s="252" t="s">
        <v>42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3"/>
      <c r="AN31" s="253"/>
      <c r="AO31" s="253"/>
      <c r="AP31" s="254">
        <f>SUM(AP9:AP30)</f>
        <v>1498219</v>
      </c>
      <c r="AQ31" s="255"/>
      <c r="AR31" s="255"/>
      <c r="AS31" s="103"/>
      <c r="AT31" s="103"/>
      <c r="AU31" s="103"/>
      <c r="AV31" s="103"/>
      <c r="AW31" s="103"/>
      <c r="AX31" s="103"/>
      <c r="AY31" s="103"/>
      <c r="AZ31" s="103"/>
    </row>
    <row r="32" spans="1:52" ht="12.75" x14ac:dyDescent="0.2">
      <c r="A32" s="242" t="s">
        <v>43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3">
        <f>AM30-AP31</f>
        <v>2981</v>
      </c>
      <c r="AN32" s="244"/>
      <c r="AO32" s="244"/>
      <c r="AP32" s="244"/>
      <c r="AQ32" s="244"/>
      <c r="AR32" s="244"/>
      <c r="AS32" s="103"/>
      <c r="AT32" s="103"/>
      <c r="AU32" s="103"/>
      <c r="AV32" s="103"/>
      <c r="AW32" s="103"/>
      <c r="AX32" s="103"/>
      <c r="AY32" s="103"/>
      <c r="AZ32" s="103"/>
    </row>
    <row r="33" spans="1:53" ht="15" thickBot="1" x14ac:dyDescent="0.25"/>
    <row r="34" spans="1:53" s="19" customFormat="1" ht="26.25" customHeight="1" thickBot="1" x14ac:dyDescent="0.25">
      <c r="A34" s="68" t="s">
        <v>44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109"/>
      <c r="U34" s="109"/>
      <c r="V34" s="211"/>
      <c r="W34" s="109"/>
      <c r="X34" s="211"/>
      <c r="Y34" s="109"/>
      <c r="Z34" s="109"/>
      <c r="AA34" s="109"/>
      <c r="AB34" s="109"/>
      <c r="AC34" s="109"/>
      <c r="AD34" s="109"/>
      <c r="AE34" s="109"/>
      <c r="AF34" s="109"/>
      <c r="AG34" s="109"/>
      <c r="AH34" s="212"/>
      <c r="AI34" s="109"/>
      <c r="AJ34" s="220"/>
      <c r="AK34" s="109"/>
      <c r="AL34" s="214"/>
      <c r="AM34" s="213"/>
      <c r="AN34" s="109"/>
      <c r="AO34" s="109"/>
      <c r="AP34" s="213"/>
      <c r="AQ34" s="109"/>
      <c r="AR34" s="109"/>
      <c r="AS34" s="109"/>
      <c r="AT34" s="109"/>
      <c r="AU34" s="109"/>
      <c r="AV34" s="109"/>
      <c r="AW34" s="109"/>
      <c r="AX34" s="109"/>
      <c r="AY34" s="31"/>
      <c r="AZ34" s="32"/>
    </row>
    <row r="35" spans="1:53" s="19" customFormat="1" x14ac:dyDescent="0.2">
      <c r="A35" s="72" t="s">
        <v>142</v>
      </c>
      <c r="B35" s="72" t="s">
        <v>116</v>
      </c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217">
        <v>10000</v>
      </c>
      <c r="U35" s="99"/>
      <c r="V35" s="97" t="s">
        <v>156</v>
      </c>
      <c r="W35" s="2"/>
      <c r="X35" s="2">
        <v>53.9</v>
      </c>
      <c r="Y35" s="219"/>
      <c r="Z35" s="43"/>
      <c r="AA35" s="40"/>
      <c r="AB35" s="40"/>
      <c r="AC35" s="43"/>
      <c r="AD35" s="43"/>
      <c r="AE35" s="43"/>
      <c r="AF35" s="43"/>
      <c r="AG35" s="163">
        <v>44685</v>
      </c>
      <c r="AH35" s="163">
        <v>44685</v>
      </c>
      <c r="AI35" s="199">
        <v>44760</v>
      </c>
      <c r="AJ35" s="164">
        <v>44767</v>
      </c>
      <c r="AK35" s="164">
        <v>44767</v>
      </c>
      <c r="AL35" s="58" t="s">
        <v>31</v>
      </c>
      <c r="AM35" s="162">
        <v>10000</v>
      </c>
      <c r="AN35" s="44"/>
      <c r="AO35" s="44"/>
      <c r="AP35" s="162">
        <v>9800</v>
      </c>
      <c r="AQ35" s="44"/>
      <c r="AR35" s="44"/>
      <c r="AS35" s="40"/>
      <c r="AT35" s="40"/>
      <c r="AU35" s="40"/>
      <c r="AV35" s="40"/>
      <c r="AW35" s="40"/>
      <c r="AX35" s="40"/>
      <c r="AY35" s="4"/>
      <c r="AZ35" s="8"/>
    </row>
    <row r="36" spans="1:53" s="19" customFormat="1" x14ac:dyDescent="0.2">
      <c r="A36" s="72" t="s">
        <v>152</v>
      </c>
      <c r="B36" s="72" t="s">
        <v>124</v>
      </c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0"/>
      <c r="R36" s="40"/>
      <c r="S36" s="40"/>
      <c r="T36" s="217">
        <v>242000</v>
      </c>
      <c r="U36" s="99"/>
      <c r="V36" s="97" t="s">
        <v>156</v>
      </c>
      <c r="W36" s="2"/>
      <c r="X36" s="2">
        <v>53.9</v>
      </c>
      <c r="Y36" s="218"/>
      <c r="Z36" s="43"/>
      <c r="AA36" s="40"/>
      <c r="AB36" s="40"/>
      <c r="AC36" s="43"/>
      <c r="AD36" s="43"/>
      <c r="AE36" s="43"/>
      <c r="AF36" s="43"/>
      <c r="AG36" s="75">
        <v>44883</v>
      </c>
      <c r="AH36" s="75">
        <v>44883</v>
      </c>
      <c r="AI36" s="97"/>
      <c r="AJ36" s="80"/>
      <c r="AK36" s="80"/>
      <c r="AL36" s="57" t="s">
        <v>31</v>
      </c>
      <c r="AM36" s="158">
        <v>242000</v>
      </c>
      <c r="AN36" s="161"/>
      <c r="AO36" s="161"/>
      <c r="AP36" s="73">
        <v>241910</v>
      </c>
      <c r="AQ36" s="96"/>
      <c r="AR36" s="96"/>
      <c r="AS36" s="40"/>
      <c r="AT36" s="40"/>
      <c r="AU36" s="40"/>
      <c r="AV36" s="40"/>
      <c r="AW36" s="40"/>
      <c r="AX36" s="40"/>
      <c r="AY36" s="40"/>
      <c r="AZ36" s="45"/>
    </row>
    <row r="37" spans="1:53" s="19" customFormat="1" ht="12.75" x14ac:dyDescent="0.2">
      <c r="A37" s="245" t="s">
        <v>45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6">
        <f>SUM(AM35:AM36)</f>
        <v>252000</v>
      </c>
      <c r="AN37" s="246"/>
      <c r="AO37" s="246"/>
      <c r="AP37" s="247"/>
      <c r="AQ37" s="247"/>
      <c r="AR37" s="247"/>
    </row>
    <row r="42" spans="1:53" ht="15" x14ac:dyDescent="0.2">
      <c r="V42" s="67" t="s">
        <v>46</v>
      </c>
      <c r="W42" s="11"/>
      <c r="X42" s="66"/>
      <c r="Y42" s="21"/>
      <c r="Z42" s="21"/>
      <c r="AA42" s="21"/>
      <c r="AB42" s="21"/>
      <c r="AC42" s="21"/>
      <c r="AD42" s="21"/>
      <c r="AE42" s="21"/>
      <c r="AF42" s="21"/>
      <c r="AG42" s="12" t="s">
        <v>47</v>
      </c>
      <c r="AI42" s="21"/>
      <c r="AJ42" s="51"/>
      <c r="AK42" s="21"/>
      <c r="AL42" s="59"/>
      <c r="AM42" s="39"/>
      <c r="AN42" s="23"/>
      <c r="AO42" s="23"/>
      <c r="AP42" s="39"/>
      <c r="AQ42" s="22"/>
      <c r="AR42" s="24" t="s">
        <v>48</v>
      </c>
      <c r="AS42" s="25"/>
      <c r="AU42" s="26"/>
      <c r="AV42" s="27"/>
      <c r="AW42" s="27"/>
      <c r="AX42" s="27"/>
      <c r="AY42" s="26"/>
      <c r="AZ42" s="26"/>
      <c r="BA42" s="26"/>
    </row>
    <row r="43" spans="1:53" ht="15" x14ac:dyDescent="0.2">
      <c r="V43" s="67"/>
      <c r="W43" s="11"/>
      <c r="X43" s="67"/>
      <c r="Y43" s="11"/>
      <c r="Z43" s="11"/>
      <c r="AA43" s="11"/>
      <c r="AB43" s="11"/>
      <c r="AC43" s="11"/>
      <c r="AD43" s="11"/>
      <c r="AE43" s="22"/>
      <c r="AF43" s="22"/>
      <c r="AG43" s="27"/>
      <c r="AI43" s="21"/>
      <c r="AJ43" s="52"/>
      <c r="AK43" s="21"/>
      <c r="AL43" s="59"/>
      <c r="AM43" s="39"/>
      <c r="AN43" s="23"/>
      <c r="AO43" s="23"/>
      <c r="AP43" s="39"/>
      <c r="AQ43" s="22"/>
      <c r="AR43" s="11"/>
      <c r="AS43" s="25"/>
      <c r="AU43" s="28"/>
      <c r="AV43" s="11"/>
      <c r="AW43" s="11"/>
      <c r="AX43" s="11"/>
      <c r="AY43" s="11"/>
      <c r="AZ43" s="11"/>
      <c r="BA43" s="11"/>
    </row>
    <row r="44" spans="1:53" ht="15" x14ac:dyDescent="0.2">
      <c r="V44" s="67"/>
      <c r="W44" s="11"/>
      <c r="X44" s="67"/>
      <c r="Y44" s="11"/>
      <c r="Z44" s="11"/>
      <c r="AA44" s="11"/>
      <c r="AB44" s="11"/>
      <c r="AC44" s="11"/>
      <c r="AD44" s="11"/>
      <c r="AE44" s="11"/>
      <c r="AF44" s="11"/>
      <c r="AG44" s="25"/>
      <c r="AI44" s="21"/>
      <c r="AJ44" s="51"/>
      <c r="AK44" s="21"/>
      <c r="AL44" s="59"/>
      <c r="AM44" s="39"/>
      <c r="AN44" s="23"/>
      <c r="AO44" s="23"/>
      <c r="AP44" s="39"/>
      <c r="AQ44" s="22"/>
      <c r="AR44" s="11"/>
      <c r="AS44" s="25"/>
      <c r="AU44" s="28"/>
      <c r="AV44" s="11"/>
      <c r="AW44" s="11"/>
      <c r="AX44" s="11"/>
      <c r="AY44" s="11"/>
      <c r="AZ44" s="11"/>
      <c r="BA44" s="11"/>
    </row>
    <row r="45" spans="1:53" ht="15" x14ac:dyDescent="0.2">
      <c r="V45" s="66"/>
      <c r="W45" s="21"/>
      <c r="X45" s="66"/>
      <c r="Y45" s="21"/>
      <c r="Z45" s="21"/>
      <c r="AA45" s="21"/>
      <c r="AB45" s="21"/>
      <c r="AC45" s="21"/>
      <c r="AD45" s="21"/>
      <c r="AE45" s="21"/>
      <c r="AF45" s="21"/>
      <c r="AG45" s="29"/>
      <c r="AI45" s="21"/>
      <c r="AJ45" s="51"/>
      <c r="AK45" s="21"/>
      <c r="AL45" s="59"/>
      <c r="AM45" s="39"/>
      <c r="AN45" s="23"/>
      <c r="AO45" s="23"/>
      <c r="AP45" s="39"/>
      <c r="AQ45" s="22"/>
      <c r="AR45" s="21" t="s">
        <v>50</v>
      </c>
      <c r="AS45" s="25"/>
      <c r="AU45" s="28"/>
      <c r="AV45" s="21"/>
      <c r="AW45" s="21"/>
      <c r="AX45" s="21"/>
      <c r="AY45" s="21"/>
      <c r="AZ45" s="21"/>
      <c r="BA45" s="21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30:AL30"/>
    <mergeCell ref="AM30:AO30"/>
    <mergeCell ref="AP30:AR30"/>
    <mergeCell ref="A31:AL31"/>
    <mergeCell ref="AM31:AO31"/>
    <mergeCell ref="AP31:AR31"/>
    <mergeCell ref="A32:AL32"/>
    <mergeCell ref="AM32:AR32"/>
    <mergeCell ref="A37:AL37"/>
    <mergeCell ref="AM37:AO37"/>
    <mergeCell ref="AP37:AR37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2ID</vt:lpstr>
      <vt:lpstr>ASCOM (4FSSU) </vt:lpstr>
      <vt:lpstr>ARESCOM </vt:lpstr>
      <vt:lpstr>ASR (2SBN)</vt:lpstr>
      <vt:lpstr>IMCOM (2IMB14IMB)</vt:lpstr>
      <vt:lpstr>AAR (5FAB)</vt:lpstr>
      <vt:lpstr>FAO (4FPAO)</vt:lpstr>
      <vt:lpstr>ASPA (4FAU)</vt:lpstr>
      <vt:lpstr>LAD (2CAV)</vt:lpstr>
      <vt:lpstr>102ND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User</cp:lastModifiedBy>
  <cp:lastPrinted>2023-01-11T02:24:21Z</cp:lastPrinted>
  <dcterms:created xsi:type="dcterms:W3CDTF">2019-10-01T09:16:38Z</dcterms:created>
  <dcterms:modified xsi:type="dcterms:W3CDTF">2023-01-11T05:56:34Z</dcterms:modified>
</cp:coreProperties>
</file>